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livettu-my.sharepoint.com/personal/ergo_pikas_taltech_ee/Documents/TTÜ/Juhendamised/Sergei Ašmanov/"/>
    </mc:Choice>
  </mc:AlternateContent>
  <xr:revisionPtr revIDLastSave="3095" documentId="11_F25DC773A252ABDACC104845F11D4E205ADE58E5" xr6:coauthVersionLast="47" xr6:coauthVersionMax="47" xr10:uidLastSave="{689F81C2-7113-4F95-A06B-4D4181DD0B04}"/>
  <bookViews>
    <workbookView xWindow="-120" yWindow="-120" windowWidth="29040" windowHeight="15840" xr2:uid="{00000000-000D-0000-FFFF-FFFF00000000}"/>
  </bookViews>
  <sheets>
    <sheet name="Lähteandmed" sheetId="1" r:id="rId1"/>
    <sheet name="Lah. kirj. andmed" sheetId="2" r:id="rId2"/>
    <sheet name="Arvutused" sheetId="3" r:id="rId3"/>
    <sheet name="CO2" sheetId="5" r:id="rId4"/>
    <sheet name="Tulemus" sheetId="4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R24" i="3" l="1"/>
  <c r="R23" i="3"/>
  <c r="R22" i="3"/>
  <c r="R21" i="3"/>
  <c r="P8" i="3"/>
  <c r="T8" i="3"/>
  <c r="U12" i="3" s="1" a="1"/>
  <c r="U12" i="3" s="1"/>
  <c r="U21" i="3" s="1"/>
  <c r="L5" i="3" l="1"/>
  <c r="L4" i="3"/>
  <c r="L3" i="3"/>
  <c r="L2" i="3"/>
  <c r="L6" i="3" l="1"/>
  <c r="L23" i="3" s="1"/>
  <c r="U15" i="3"/>
  <c r="U24" i="3" s="1"/>
  <c r="U14" i="3"/>
  <c r="U23" i="3" s="1"/>
  <c r="U13" i="3"/>
  <c r="U22" i="3" s="1"/>
  <c r="R12" i="3"/>
  <c r="R14" i="3"/>
  <c r="R13" i="3"/>
  <c r="R15" i="3"/>
  <c r="L29" i="3" l="1"/>
  <c r="M29" i="3" s="1"/>
  <c r="M23" i="3"/>
  <c r="D20" i="4"/>
  <c r="D26" i="4" s="1"/>
  <c r="L15" i="3"/>
  <c r="C27" i="3"/>
  <c r="C28" i="3" s="1"/>
  <c r="C24" i="3"/>
  <c r="C23" i="3"/>
  <c r="E7" i="2"/>
  <c r="E6" i="2"/>
  <c r="C46" i="2"/>
  <c r="C45" i="2"/>
  <c r="C44" i="2"/>
  <c r="C43" i="2"/>
  <c r="D5" i="4"/>
  <c r="I10" i="3"/>
  <c r="O26" i="2"/>
  <c r="N26" i="2"/>
  <c r="O25" i="2"/>
  <c r="N25" i="2"/>
  <c r="O24" i="2"/>
  <c r="N24" i="2"/>
  <c r="O23" i="2"/>
  <c r="N23" i="2"/>
  <c r="C6" i="3"/>
  <c r="C13" i="3" s="1"/>
  <c r="C5" i="3"/>
  <c r="C12" i="3" s="1"/>
  <c r="C4" i="3"/>
  <c r="C11" i="3" s="1"/>
  <c r="C3" i="3"/>
  <c r="C10" i="3" s="1"/>
  <c r="D40" i="2"/>
  <c r="D39" i="2"/>
  <c r="D38" i="2"/>
  <c r="D37" i="2"/>
  <c r="C40" i="2"/>
  <c r="C39" i="2"/>
  <c r="C38" i="2"/>
  <c r="C37" i="2"/>
  <c r="C36" i="2"/>
  <c r="C35" i="2"/>
  <c r="C34" i="2"/>
  <c r="C33" i="2"/>
  <c r="C49" i="2" l="1"/>
  <c r="D49" i="2"/>
  <c r="E4" i="4" s="1"/>
  <c r="C25" i="3"/>
  <c r="C26" i="3"/>
  <c r="G24" i="3"/>
  <c r="G26" i="3" s="1"/>
  <c r="S20" i="2"/>
  <c r="J12" i="5" s="1"/>
  <c r="G54" i="5" s="1"/>
  <c r="J27" i="5" s="1"/>
  <c r="N41" i="4" s="1"/>
  <c r="J60" i="2"/>
  <c r="T19" i="2"/>
  <c r="T21" i="2"/>
  <c r="T18" i="2"/>
  <c r="K10" i="5" s="1"/>
  <c r="H49" i="5" s="1"/>
  <c r="K25" i="5" s="1"/>
  <c r="O39" i="4" s="1"/>
  <c r="S18" i="2"/>
  <c r="J10" i="5" s="1"/>
  <c r="G49" i="5" s="1"/>
  <c r="J25" i="5" s="1"/>
  <c r="N39" i="4" s="1"/>
  <c r="G23" i="3"/>
  <c r="G25" i="3" s="1"/>
  <c r="T16" i="2"/>
  <c r="K8" i="5" s="1"/>
  <c r="H47" i="5" s="1"/>
  <c r="K23" i="5" s="1"/>
  <c r="O37" i="4" s="1"/>
  <c r="H8" i="3"/>
  <c r="I4" i="3"/>
  <c r="S17" i="2"/>
  <c r="J9" i="5" s="1"/>
  <c r="G48" i="5" s="1"/>
  <c r="J24" i="5" s="1"/>
  <c r="N38" i="4" s="1"/>
  <c r="S13" i="2"/>
  <c r="J5" i="5" s="1"/>
  <c r="G46" i="5" s="1"/>
  <c r="J21" i="5" s="1"/>
  <c r="N35" i="4" s="1"/>
  <c r="I8" i="3"/>
  <c r="J64" i="2"/>
  <c r="I9" i="4" s="1"/>
  <c r="S22" i="2"/>
  <c r="J14" i="5" s="1"/>
  <c r="G56" i="5" s="1"/>
  <c r="J29" i="5" s="1"/>
  <c r="N43" i="4" s="1"/>
  <c r="J65" i="2"/>
  <c r="S14" i="2"/>
  <c r="J6" i="5" s="1"/>
  <c r="G45" i="5" s="1"/>
  <c r="T17" i="2"/>
  <c r="K9" i="5" s="1"/>
  <c r="H48" i="5" s="1"/>
  <c r="K24" i="5" s="1"/>
  <c r="O38" i="4" s="1"/>
  <c r="T20" i="2"/>
  <c r="K12" i="5" s="1"/>
  <c r="H54" i="5" s="1"/>
  <c r="K27" i="5" s="1"/>
  <c r="O41" i="4" s="1"/>
  <c r="I6" i="3"/>
  <c r="T13" i="2"/>
  <c r="K5" i="5" s="1"/>
  <c r="H45" i="5" s="1"/>
  <c r="K20" i="5" s="1"/>
  <c r="O34" i="4" s="1"/>
  <c r="H4" i="3"/>
  <c r="H10" i="3"/>
  <c r="K64" i="2"/>
  <c r="T14" i="2"/>
  <c r="K6" i="5" s="1"/>
  <c r="H46" i="5" s="1"/>
  <c r="K21" i="5" s="1"/>
  <c r="O35" i="4" s="1"/>
  <c r="T22" i="2"/>
  <c r="K14" i="5" s="1"/>
  <c r="H56" i="5" s="1"/>
  <c r="K29" i="5" s="1"/>
  <c r="O43" i="4" s="1"/>
  <c r="S15" i="2"/>
  <c r="J7" i="5" s="1"/>
  <c r="G52" i="5" s="1"/>
  <c r="S19" i="2"/>
  <c r="H6" i="3"/>
  <c r="T15" i="2"/>
  <c r="K7" i="5" s="1"/>
  <c r="H52" i="5" s="1"/>
  <c r="K22" i="5" s="1"/>
  <c r="O36" i="4" s="1"/>
  <c r="S16" i="2"/>
  <c r="J8" i="5" s="1"/>
  <c r="G47" i="5" s="1"/>
  <c r="J23" i="5" s="1"/>
  <c r="N37" i="4" s="1"/>
  <c r="S21" i="2"/>
  <c r="J13" i="5" s="1"/>
  <c r="G55" i="5" s="1"/>
  <c r="J28" i="5" s="1"/>
  <c r="N42" i="4" s="1"/>
  <c r="J62" i="2"/>
  <c r="K63" i="2"/>
  <c r="J63" i="2"/>
  <c r="K61" i="2"/>
  <c r="K62" i="2"/>
  <c r="K60" i="2"/>
  <c r="J61" i="2"/>
  <c r="C14" i="3"/>
  <c r="D7" i="4" s="1"/>
  <c r="G28" i="3" l="1"/>
  <c r="S12" i="3" s="1"/>
  <c r="S21" i="3" s="1"/>
  <c r="V21" i="3" s="1"/>
  <c r="R5" i="3"/>
  <c r="D4" i="4"/>
  <c r="J20" i="5"/>
  <c r="N34" i="4" s="1"/>
  <c r="J22" i="5"/>
  <c r="N36" i="4" s="1"/>
  <c r="K70" i="2"/>
  <c r="J15" i="4" s="1"/>
  <c r="F6" i="5"/>
  <c r="H43" i="5" s="1"/>
  <c r="J8" i="4"/>
  <c r="F8" i="5"/>
  <c r="H42" i="5" s="1"/>
  <c r="F23" i="5" s="1"/>
  <c r="J30" i="4" s="1"/>
  <c r="J73" i="2"/>
  <c r="E9" i="5"/>
  <c r="G50" i="5" s="1"/>
  <c r="E24" i="5" s="1"/>
  <c r="I31" i="4" s="1"/>
  <c r="I7" i="4"/>
  <c r="E7" i="5"/>
  <c r="G41" i="5" s="1"/>
  <c r="E22" i="5" s="1"/>
  <c r="I29" i="4" s="1"/>
  <c r="I8" i="4"/>
  <c r="E8" i="5"/>
  <c r="G42" i="5" s="1"/>
  <c r="E23" i="5" s="1"/>
  <c r="I30" i="4" s="1"/>
  <c r="J10" i="4"/>
  <c r="F10" i="5"/>
  <c r="K69" i="2"/>
  <c r="F5" i="5"/>
  <c r="H44" i="5" s="1"/>
  <c r="F20" i="5" s="1"/>
  <c r="J27" i="4" s="1"/>
  <c r="J7" i="4"/>
  <c r="F7" i="5"/>
  <c r="H41" i="5" s="1"/>
  <c r="F22" i="5" s="1"/>
  <c r="J29" i="4" s="1"/>
  <c r="J70" i="2"/>
  <c r="I15" i="4" s="1"/>
  <c r="E6" i="5"/>
  <c r="G43" i="5" s="1"/>
  <c r="E21" i="5" s="1"/>
  <c r="I28" i="4" s="1"/>
  <c r="J9" i="4"/>
  <c r="F9" i="5"/>
  <c r="H50" i="5" s="1"/>
  <c r="F24" i="5" s="1"/>
  <c r="J31" i="4" s="1"/>
  <c r="J74" i="2"/>
  <c r="I19" i="4" s="1"/>
  <c r="E10" i="5"/>
  <c r="G51" i="5" s="1"/>
  <c r="E25" i="5" s="1"/>
  <c r="I32" i="4" s="1"/>
  <c r="J69" i="2"/>
  <c r="E5" i="5"/>
  <c r="G44" i="5" s="1"/>
  <c r="E20" i="5" s="1"/>
  <c r="I27" i="4" s="1"/>
  <c r="T34" i="2"/>
  <c r="O26" i="4" s="1"/>
  <c r="K13" i="5"/>
  <c r="H55" i="5" s="1"/>
  <c r="K28" i="5" s="1"/>
  <c r="O42" i="4" s="1"/>
  <c r="T32" i="2"/>
  <c r="O24" i="4" s="1"/>
  <c r="K11" i="5"/>
  <c r="H53" i="5" s="1"/>
  <c r="K26" i="5" s="1"/>
  <c r="O40" i="4" s="1"/>
  <c r="N11" i="4"/>
  <c r="J11" i="5"/>
  <c r="G53" i="5" s="1"/>
  <c r="J26" i="5" s="1"/>
  <c r="N40" i="4" s="1"/>
  <c r="G27" i="3"/>
  <c r="O11" i="4"/>
  <c r="O13" i="4"/>
  <c r="T28" i="2"/>
  <c r="O7" i="4"/>
  <c r="T30" i="2"/>
  <c r="O22" i="4" s="1"/>
  <c r="O9" i="4"/>
  <c r="S30" i="2"/>
  <c r="N22" i="4" s="1"/>
  <c r="N9" i="4"/>
  <c r="S29" i="2"/>
  <c r="N21" i="4" s="1"/>
  <c r="N8" i="4"/>
  <c r="T29" i="2"/>
  <c r="O21" i="4" s="1"/>
  <c r="O8" i="4"/>
  <c r="S28" i="2"/>
  <c r="N7" i="4"/>
  <c r="S33" i="2"/>
  <c r="N25" i="4" s="1"/>
  <c r="N12" i="4"/>
  <c r="T27" i="2"/>
  <c r="O19" i="4" s="1"/>
  <c r="O6" i="4"/>
  <c r="T33" i="2"/>
  <c r="O25" i="4" s="1"/>
  <c r="O12" i="4"/>
  <c r="S26" i="2"/>
  <c r="N5" i="4"/>
  <c r="T35" i="2"/>
  <c r="O27" i="4" s="1"/>
  <c r="O14" i="4"/>
  <c r="T26" i="2"/>
  <c r="O5" i="4"/>
  <c r="S27" i="2"/>
  <c r="N19" i="4" s="1"/>
  <c r="N6" i="4"/>
  <c r="S34" i="2"/>
  <c r="N26" i="4" s="1"/>
  <c r="N13" i="4"/>
  <c r="S31" i="2"/>
  <c r="N23" i="4" s="1"/>
  <c r="N10" i="4"/>
  <c r="S35" i="2"/>
  <c r="N27" i="4" s="1"/>
  <c r="N14" i="4"/>
  <c r="T31" i="2"/>
  <c r="O23" i="4" s="1"/>
  <c r="O10" i="4"/>
  <c r="K73" i="2"/>
  <c r="K76" i="2" s="1"/>
  <c r="J21" i="4" s="1"/>
  <c r="S32" i="2"/>
  <c r="N24" i="4" s="1"/>
  <c r="H15" i="3"/>
  <c r="K74" i="2"/>
  <c r="J19" i="4" s="1"/>
  <c r="I10" i="4"/>
  <c r="G15" i="3"/>
  <c r="K72" i="2"/>
  <c r="J17" i="4" s="1"/>
  <c r="J6" i="4"/>
  <c r="J72" i="2"/>
  <c r="J71" i="2"/>
  <c r="I16" i="4" s="1"/>
  <c r="I5" i="4"/>
  <c r="I6" i="4"/>
  <c r="K71" i="2"/>
  <c r="J16" i="4" s="1"/>
  <c r="J5" i="4"/>
  <c r="D50" i="2"/>
  <c r="E5" i="4" s="1"/>
  <c r="O44" i="4" l="1"/>
  <c r="F21" i="5"/>
  <c r="J28" i="4" s="1"/>
  <c r="S15" i="3"/>
  <c r="S13" i="3"/>
  <c r="S22" i="3" s="1"/>
  <c r="V22" i="3" s="1"/>
  <c r="W22" i="3" s="1"/>
  <c r="M22" i="3"/>
  <c r="D19" i="4" s="1"/>
  <c r="V25" i="3"/>
  <c r="N44" i="4"/>
  <c r="N18" i="4"/>
  <c r="S36" i="2"/>
  <c r="N28" i="4" s="1"/>
  <c r="N20" i="4"/>
  <c r="S37" i="2"/>
  <c r="N29" i="4" s="1"/>
  <c r="O20" i="4"/>
  <c r="T37" i="2"/>
  <c r="O29" i="4" s="1"/>
  <c r="O18" i="4"/>
  <c r="T36" i="2"/>
  <c r="O28" i="4" s="1"/>
  <c r="I33" i="4"/>
  <c r="I14" i="4"/>
  <c r="J75" i="2"/>
  <c r="I20" i="4" s="1"/>
  <c r="I17" i="4"/>
  <c r="J18" i="4"/>
  <c r="J14" i="4"/>
  <c r="K75" i="2"/>
  <c r="J20" i="4" s="1"/>
  <c r="I18" i="4"/>
  <c r="J76" i="2"/>
  <c r="I21" i="4" s="1"/>
  <c r="F25" i="5"/>
  <c r="J32" i="4" s="1"/>
  <c r="H51" i="5"/>
  <c r="W21" i="3"/>
  <c r="V16" i="3"/>
  <c r="J30" i="5"/>
  <c r="K30" i="5"/>
  <c r="E26" i="5"/>
  <c r="W25" i="3"/>
  <c r="W16" i="3"/>
  <c r="V12" i="3"/>
  <c r="S14" i="3"/>
  <c r="V13" i="3" l="1"/>
  <c r="W13" i="3" s="1"/>
  <c r="J33" i="4"/>
  <c r="F26" i="5"/>
  <c r="N30" i="4"/>
  <c r="O30" i="4"/>
  <c r="J82" i="2"/>
  <c r="J77" i="2" s="1"/>
  <c r="K82" i="2"/>
  <c r="V15" i="3"/>
  <c r="W15" i="3" s="1"/>
  <c r="S24" i="3"/>
  <c r="V24" i="3" s="1"/>
  <c r="W24" i="3" s="1"/>
  <c r="V14" i="3"/>
  <c r="W14" i="3" s="1"/>
  <c r="S23" i="3"/>
  <c r="V23" i="3" s="1"/>
  <c r="W12" i="3"/>
  <c r="I22" i="4" l="1"/>
  <c r="I23" i="4" s="1"/>
  <c r="K77" i="2"/>
  <c r="J78" i="2"/>
  <c r="W23" i="3"/>
  <c r="W26" i="3" s="1"/>
  <c r="M27" i="3" s="1"/>
  <c r="E14" i="4" s="1"/>
  <c r="D24" i="4" s="1"/>
  <c r="V26" i="3"/>
  <c r="M21" i="3" s="1"/>
  <c r="E13" i="4" s="1"/>
  <c r="D18" i="4" s="1"/>
  <c r="V17" i="3"/>
  <c r="W17" i="3"/>
  <c r="L27" i="3" s="1"/>
  <c r="D14" i="4" s="1"/>
  <c r="J22" i="4" l="1"/>
  <c r="J23" i="4" s="1"/>
  <c r="K78" i="2"/>
  <c r="L21" i="3"/>
  <c r="D13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Sergei Ašmanov</author>
  </authors>
  <commentList>
    <comment ref="F52" authorId="0" shapeId="0" xr:uid="{88C3B042-6D0C-4F49-ADF8-F45FA2B974F0}">
      <text>
        <r>
          <rPr>
            <b/>
            <sz val="9"/>
            <color indexed="81"/>
            <rFont val="Tahoma"/>
            <family val="2"/>
          </rPr>
          <t>Sergei Ašmanov:</t>
        </r>
        <r>
          <rPr>
            <sz val="9"/>
            <color indexed="81"/>
            <rFont val="Tahoma"/>
            <family val="2"/>
          </rPr>
          <t xml:space="preserve">
1m</t>
        </r>
      </text>
    </comment>
    <comment ref="I52" authorId="0" shapeId="0" xr:uid="{68EF8EE0-4DFF-45E8-AF84-593CFFAF0801}">
      <text>
        <r>
          <rPr>
            <b/>
            <sz val="9"/>
            <color indexed="81"/>
            <rFont val="Tahoma"/>
            <family val="2"/>
          </rPr>
          <t>Sergei Ašmanov:</t>
        </r>
        <r>
          <rPr>
            <sz val="9"/>
            <color indexed="81"/>
            <rFont val="Tahoma"/>
            <family val="2"/>
          </rPr>
          <t xml:space="preserve">
1m A1</t>
        </r>
      </text>
    </comment>
    <comment ref="F53" authorId="0" shapeId="0" xr:uid="{D96D2A02-BED5-4D1E-8BC5-1CD8E4E1F356}">
      <text>
        <r>
          <rPr>
            <b/>
            <sz val="9"/>
            <color indexed="81"/>
            <rFont val="Tahoma"/>
            <family val="2"/>
          </rPr>
          <t>Sergei Ašmanov:</t>
        </r>
        <r>
          <rPr>
            <sz val="9"/>
            <color indexed="81"/>
            <rFont val="Tahoma"/>
            <family val="2"/>
          </rPr>
          <t xml:space="preserve">
1m</t>
        </r>
      </text>
    </comment>
    <comment ref="F54" authorId="0" shapeId="0" xr:uid="{17E998E4-4668-4D8F-BDFC-04E63ADEEAB7}">
      <text>
        <r>
          <rPr>
            <b/>
            <sz val="9"/>
            <color indexed="81"/>
            <rFont val="Tahoma"/>
            <family val="2"/>
          </rPr>
          <t>Sergei Ašmanov:</t>
        </r>
        <r>
          <rPr>
            <sz val="9"/>
            <color indexed="81"/>
            <rFont val="Tahoma"/>
            <family val="2"/>
          </rPr>
          <t xml:space="preserve">
1m</t>
        </r>
      </text>
    </comment>
    <comment ref="F55" authorId="0" shapeId="0" xr:uid="{83982DB0-281F-45C0-8377-4FF77EEB57D8}">
      <text>
        <r>
          <rPr>
            <b/>
            <sz val="9"/>
            <color indexed="81"/>
            <rFont val="Tahoma"/>
            <family val="2"/>
          </rPr>
          <t>Sergei Ašmanov:</t>
        </r>
        <r>
          <rPr>
            <sz val="9"/>
            <color indexed="81"/>
            <rFont val="Tahoma"/>
            <family val="2"/>
          </rPr>
          <t xml:space="preserve">
1m</t>
        </r>
      </text>
    </comment>
    <comment ref="I55" authorId="0" shapeId="0" xr:uid="{DE584D56-F327-4BD4-BCE4-64C6FA2593F6}">
      <text>
        <r>
          <rPr>
            <b/>
            <sz val="9"/>
            <color indexed="81"/>
            <rFont val="Tahoma"/>
            <family val="2"/>
          </rPr>
          <t>Sergei Ašmanov:</t>
        </r>
        <r>
          <rPr>
            <sz val="9"/>
            <color indexed="81"/>
            <rFont val="Tahoma"/>
            <family val="2"/>
          </rPr>
          <t xml:space="preserve">
1m A1</t>
        </r>
      </text>
    </comment>
    <comment ref="F56" authorId="0" shapeId="0" xr:uid="{84FEADF3-C252-4E4A-9817-A962723BCD51}">
      <text>
        <r>
          <rPr>
            <b/>
            <sz val="9"/>
            <color indexed="81"/>
            <rFont val="Tahoma"/>
            <family val="2"/>
          </rPr>
          <t>Sergei Ašmanov:</t>
        </r>
        <r>
          <rPr>
            <sz val="9"/>
            <color indexed="81"/>
            <rFont val="Tahoma"/>
            <family val="2"/>
          </rPr>
          <t xml:space="preserve">
1m</t>
        </r>
      </text>
    </comment>
    <comment ref="I56" authorId="0" shapeId="0" xr:uid="{7E487CB4-062A-40A8-B0A9-600922B93576}">
      <text>
        <r>
          <rPr>
            <b/>
            <sz val="9"/>
            <color indexed="81"/>
            <rFont val="Tahoma"/>
            <family val="2"/>
          </rPr>
          <t>Sergei Ašmanov:</t>
        </r>
        <r>
          <rPr>
            <sz val="9"/>
            <color indexed="81"/>
            <rFont val="Tahoma"/>
            <family val="2"/>
          </rPr>
          <t xml:space="preserve">
1m A1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<sst xmlns="http://schemas.openxmlformats.org/spreadsheetml/2006/main" count="821" uniqueCount="325">
  <si>
    <t>Palun sisestage oma andmed lahtrisse, mis on värvitud kollase värviga.</t>
  </si>
  <si>
    <t>Valige hoone tüüp</t>
  </si>
  <si>
    <t>B213</t>
  </si>
  <si>
    <t>Sisestage korruste arv</t>
  </si>
  <si>
    <t>Sisestage trepikodade arv</t>
  </si>
  <si>
    <t>Korterite arv</t>
  </si>
  <si>
    <t>Asukoht</t>
  </si>
  <si>
    <t>Tallinn</t>
  </si>
  <si>
    <t>Mitu 1-toalist</t>
  </si>
  <si>
    <t>Mitu 2-toalist</t>
  </si>
  <si>
    <t>Mitu 3-toalist</t>
  </si>
  <si>
    <t>Mitu 4-toalist</t>
  </si>
  <si>
    <t>Hoone geomeetria</t>
  </si>
  <si>
    <t>Väärtus</t>
  </si>
  <si>
    <t>Ühik</t>
  </si>
  <si>
    <t>Hoone pikkus</t>
  </si>
  <si>
    <t>m</t>
  </si>
  <si>
    <t>Hoone laius</t>
  </si>
  <si>
    <t>Hoone kõrgus</t>
  </si>
  <si>
    <t>Legend</t>
  </si>
  <si>
    <t>Palun mitte puuduta andmed sellel lehel!</t>
  </si>
  <si>
    <t>VT - väljatõmbe</t>
  </si>
  <si>
    <t>krt - korter</t>
  </si>
  <si>
    <t>B214</t>
  </si>
  <si>
    <t>Tartu</t>
  </si>
  <si>
    <t>SP - sissepuhe</t>
  </si>
  <si>
    <t>rad - radiaator</t>
  </si>
  <si>
    <t>B224</t>
  </si>
  <si>
    <t>Pärnu</t>
  </si>
  <si>
    <t>1t - 1-toaline korter</t>
  </si>
  <si>
    <t>Rapla</t>
  </si>
  <si>
    <t>2t - 2-toaline korter</t>
  </si>
  <si>
    <t>Viljandi</t>
  </si>
  <si>
    <t>3t - 3-toaline korter</t>
  </si>
  <si>
    <t>4t - 4-toaline korter</t>
  </si>
  <si>
    <t>Korterite keskmine suletud netopindala</t>
  </si>
  <si>
    <t>m2</t>
  </si>
  <si>
    <t>Küte</t>
  </si>
  <si>
    <t>Vent</t>
  </si>
  <si>
    <t>Ventilatsiooni spetsifikatsioon</t>
  </si>
  <si>
    <t>Lahenduse kirjeldavad andmed</t>
  </si>
  <si>
    <t>Mehaaniline vent</t>
  </si>
  <si>
    <t>Väljatõmbe soojuspump</t>
  </si>
  <si>
    <t>1-toaline korter</t>
  </si>
  <si>
    <t>Näitajad</t>
  </si>
  <si>
    <t>Eluruumi sisetemp</t>
  </si>
  <si>
    <t>2-toaline korter</t>
  </si>
  <si>
    <t>rad/1t krt</t>
  </si>
  <si>
    <t>plafoon SP/1t krt</t>
  </si>
  <si>
    <t>Väljatõmbe plafoonid</t>
  </si>
  <si>
    <t>tk</t>
  </si>
  <si>
    <t>Köök sisetemp</t>
  </si>
  <si>
    <t>3-toaline korter</t>
  </si>
  <si>
    <t>plafoon SP/2t krt</t>
  </si>
  <si>
    <t>Sissepuhke plafoonid</t>
  </si>
  <si>
    <t>Pesuruumi sisetemp</t>
  </si>
  <si>
    <t>4-toaline korter</t>
  </si>
  <si>
    <t>rad/2t krt</t>
  </si>
  <si>
    <t>plafoon SP/3t krt</t>
  </si>
  <si>
    <t>Korteri sisene torustik</t>
  </si>
  <si>
    <t>plafoon SP/4t krt</t>
  </si>
  <si>
    <t>Tuletõkkeklapp</t>
  </si>
  <si>
    <t>Köögi õhuvooluhulk (1t) VT</t>
  </si>
  <si>
    <t>Hinnad</t>
  </si>
  <si>
    <t>EUR</t>
  </si>
  <si>
    <t>rad/3t krt</t>
  </si>
  <si>
    <t>plafoon SP/trepikoda</t>
  </si>
  <si>
    <t>Puhastuluuk</t>
  </si>
  <si>
    <t>Köögi õhuvooluhulk (2t) VT</t>
  </si>
  <si>
    <t>Eelseadega ventiil RA-N</t>
  </si>
  <si>
    <t>plafoon VT/1t krt</t>
  </si>
  <si>
    <t>Värskeõhuklappid</t>
  </si>
  <si>
    <t xml:space="preserve">Köögi õhuvooluhulk (3t) VT </t>
  </si>
  <si>
    <t>Termostaatpea RAW</t>
  </si>
  <si>
    <t>rad/trepikoda</t>
  </si>
  <si>
    <t>plafoon VT/2t krt</t>
  </si>
  <si>
    <t>HDPE fassaadi torustik</t>
  </si>
  <si>
    <t>jm</t>
  </si>
  <si>
    <t xml:space="preserve">Köögi õhuvooluhulk (4t) VT </t>
  </si>
  <si>
    <t>V. õhu el. AIR 11</t>
  </si>
  <si>
    <t>eelseadega ventiil/rad 1t krt</t>
  </si>
  <si>
    <t>plafoon VT/3t krt</t>
  </si>
  <si>
    <t>HDPE katuse torustik</t>
  </si>
  <si>
    <t>Pesuruumi õhuvooluhulk (1t) VT</t>
  </si>
  <si>
    <t>V. õhu el. AIR 21</t>
  </si>
  <si>
    <t>plafoon VT/4t krt</t>
  </si>
  <si>
    <t>Terasplekk torustik soojustuses</t>
  </si>
  <si>
    <t>Pesuruumi õhuvooluhulk (2t) VT</t>
  </si>
  <si>
    <t>V. õhu el. AIR 22</t>
  </si>
  <si>
    <t>eelseadega ventiil/rad 2t krt</t>
  </si>
  <si>
    <t>plafoon VT/trepikoda</t>
  </si>
  <si>
    <t>Terasplekk torustik hoone väljas</t>
  </si>
  <si>
    <t>Pesuruumi õhuvooluhulk (3t) VT</t>
  </si>
  <si>
    <t>Radiaator keskmine</t>
  </si>
  <si>
    <t>SP/VT plafoonid/1t krt</t>
  </si>
  <si>
    <t>Pesuruumi õhuvooluhulk (4t) VT</t>
  </si>
  <si>
    <t>SP plafoon KTS-125</t>
  </si>
  <si>
    <t>eelseadega ventiil/rad 3t krt</t>
  </si>
  <si>
    <t>SP/VT plafoonid/2t krt</t>
  </si>
  <si>
    <t>Ventilatsiooni maksumus</t>
  </si>
  <si>
    <t>WC õhuvooluhulk (1t) VT</t>
  </si>
  <si>
    <t>VT plafoon KSO-100</t>
  </si>
  <si>
    <t>SP/VT plafoonid/3t krt</t>
  </si>
  <si>
    <t>WC õhuvooluhulk (2t) VT</t>
  </si>
  <si>
    <t>VT plafoon KSO-125</t>
  </si>
  <si>
    <t>termostaatpea/rad 1t krt</t>
  </si>
  <si>
    <t>SP/VT plafoonid/4t krt</t>
  </si>
  <si>
    <t>WC õhuvooluhulk (3t) VT</t>
  </si>
  <si>
    <t>TTK PKI-C 125</t>
  </si>
  <si>
    <t>plafoon vt köök/1t krt</t>
  </si>
  <si>
    <t>WC õhuvooluhulk (4t) VT</t>
  </si>
  <si>
    <t>PL 125</t>
  </si>
  <si>
    <t>termostaatpea/rad 2t krt</t>
  </si>
  <si>
    <t>plafoon vt köök/2t krt</t>
  </si>
  <si>
    <t>Eluurumi õhuvooluhulk (1t) SP</t>
  </si>
  <si>
    <t>VÕK Fresh 80</t>
  </si>
  <si>
    <t>plafoon vt köök/3t krt</t>
  </si>
  <si>
    <t>Eluurumi õhuvooluhulk (2t) SP</t>
  </si>
  <si>
    <t>Toru rad. Küte</t>
  </si>
  <si>
    <t>termostaatpea/rad 3t krt</t>
  </si>
  <si>
    <t>plafoon vt köök/4t krt</t>
  </si>
  <si>
    <t>Eluurumi õhuvooluhulk (3t) SP</t>
  </si>
  <si>
    <t>Toru vent. Küte</t>
  </si>
  <si>
    <t>plafoon vt pesuruum/1t krt</t>
  </si>
  <si>
    <t>Eluurumi õhuvooluhulk (4t) SP</t>
  </si>
  <si>
    <t>Vent. toru sisene</t>
  </si>
  <si>
    <t>värske õhu element/rad 1t krt</t>
  </si>
  <si>
    <t>plafoon vt pesuruum/2t krt</t>
  </si>
  <si>
    <t>SP õhuvooluhulk (1t)</t>
  </si>
  <si>
    <t>HDPE 138x51</t>
  </si>
  <si>
    <t>plafoon vt pesuruum/3t krt</t>
  </si>
  <si>
    <t>SP õhuvooluhulk (2t)</t>
  </si>
  <si>
    <t>HDPE 90</t>
  </si>
  <si>
    <t>värske õhu element/rad 2t krt</t>
  </si>
  <si>
    <t>plafoon vt pesuruum/4t krt</t>
  </si>
  <si>
    <t>SP õhuvooluhulk (3t)</t>
  </si>
  <si>
    <t>Vent. toru soojustuses</t>
  </si>
  <si>
    <t>torustik SP/1t krt</t>
  </si>
  <si>
    <t>SP õhuvooluhulk (4t)</t>
  </si>
  <si>
    <t>Vent. toru väljas</t>
  </si>
  <si>
    <t>värske õhu element/rad 3t krt</t>
  </si>
  <si>
    <t>torustik SP/2t krt</t>
  </si>
  <si>
    <t>VT õhuvoolulk (1t)</t>
  </si>
  <si>
    <t>torustik SP/3t krt</t>
  </si>
  <si>
    <t>VT õhuvoolulk (2t)</t>
  </si>
  <si>
    <t>torustik SP/4t krt</t>
  </si>
  <si>
    <t>VT õhuvoolulk (3t)</t>
  </si>
  <si>
    <t>torustik VT/1t krt</t>
  </si>
  <si>
    <t>VT õhuvoolulk (4t)</t>
  </si>
  <si>
    <t>torustik VT/2t krt</t>
  </si>
  <si>
    <t>torustik VT/3t krt</t>
  </si>
  <si>
    <t>torustik VT/4t krt</t>
  </si>
  <si>
    <t>TTK/1t krt</t>
  </si>
  <si>
    <t>TTK/2t krt</t>
  </si>
  <si>
    <t>TTK/3t krt</t>
  </si>
  <si>
    <t>TTK/4t krt</t>
  </si>
  <si>
    <t>rad/4t krt</t>
  </si>
  <si>
    <t>Puhastusluuk TTK/1t krt</t>
  </si>
  <si>
    <t>Õhuvooluhulk</t>
  </si>
  <si>
    <t>SP (l/s)</t>
  </si>
  <si>
    <t>VT (l/s)</t>
  </si>
  <si>
    <t>Puhastusluuk TTK/2t krt</t>
  </si>
  <si>
    <t>Mehaaniline</t>
  </si>
  <si>
    <t>eelseadega ventiil/rad 4t krt</t>
  </si>
  <si>
    <t>Puhastusluuk TTK/3t krt</t>
  </si>
  <si>
    <t>Soojuspump</t>
  </si>
  <si>
    <t>Puhastusluuk TTK/4t krt</t>
  </si>
  <si>
    <t>termostaatpea/rad 4t krt</t>
  </si>
  <si>
    <t>VÕK keldris/trepikoda</t>
  </si>
  <si>
    <t>Kütte torud</t>
  </si>
  <si>
    <t>VÕK keldris/tehnoruum</t>
  </si>
  <si>
    <t>fassaad</t>
  </si>
  <si>
    <t>Radiaatorküte torud</t>
  </si>
  <si>
    <t>tuletatud</t>
  </si>
  <si>
    <t>värske õhu element/rad 4t krt</t>
  </si>
  <si>
    <t>VÕK trepikojas/trepikoda</t>
  </si>
  <si>
    <t>katus</t>
  </si>
  <si>
    <t>Ventilatsiooniküte torud</t>
  </si>
  <si>
    <t>Per 1 korrus/1 trepikoda</t>
  </si>
  <si>
    <t>Küte spetsifikatsioon</t>
  </si>
  <si>
    <t>fassaadi soojustuse sisse paigldav plasttoru</t>
  </si>
  <si>
    <t>katuse soojustuse sisse paigaldav plasttoru</t>
  </si>
  <si>
    <t>Raadiaatorid</t>
  </si>
  <si>
    <t>katuse soojustuse sisse paigaldav plekktorustik</t>
  </si>
  <si>
    <t>Värske õhu element</t>
  </si>
  <si>
    <t>katusel nähtav torustik</t>
  </si>
  <si>
    <t>Eelseadega ventiil</t>
  </si>
  <si>
    <t>Termostaatpea</t>
  </si>
  <si>
    <t>Torustik radiaatorküte</t>
  </si>
  <si>
    <t>Torustik vent. küte</t>
  </si>
  <si>
    <t>Küte maksumus</t>
  </si>
  <si>
    <t>Korterite kogus</t>
  </si>
  <si>
    <t>arv</t>
  </si>
  <si>
    <t>Küte maksumus korteri kohta</t>
  </si>
  <si>
    <t>Sise temp</t>
  </si>
  <si>
    <t>Hinna kalkulatsioonid</t>
  </si>
  <si>
    <t>Vent dt</t>
  </si>
  <si>
    <t>eur/krt 1t</t>
  </si>
  <si>
    <t>eur/krt 2t</t>
  </si>
  <si>
    <t>eur/krt 3t</t>
  </si>
  <si>
    <t>Kõikide korterite suletud netopindala</t>
  </si>
  <si>
    <t>eur/krt 4t</t>
  </si>
  <si>
    <t>Välisseina soojusläbivus</t>
  </si>
  <si>
    <t>W/(m2K)</t>
  </si>
  <si>
    <t>Pind (m2)</t>
  </si>
  <si>
    <t>∆t (°K)</t>
  </si>
  <si>
    <t>Kaod soojuspump</t>
  </si>
  <si>
    <t>Katuslae soojusläbivus</t>
  </si>
  <si>
    <t>Põrand</t>
  </si>
  <si>
    <t>Pinnasel põranda soojusläbivus</t>
  </si>
  <si>
    <t>Seinad</t>
  </si>
  <si>
    <t>Summaarne</t>
  </si>
  <si>
    <t>Kütmata keldri VL soojusläbivus</t>
  </si>
  <si>
    <t>Katus</t>
  </si>
  <si>
    <t>Küte materjalid</t>
  </si>
  <si>
    <t>Keldriseina U</t>
  </si>
  <si>
    <t>Avad</t>
  </si>
  <si>
    <t>Välisuste soojusläbivus</t>
  </si>
  <si>
    <t>Akende soojusläbivus</t>
  </si>
  <si>
    <t>Kokku</t>
  </si>
  <si>
    <t>Soojussõlme koormused</t>
  </si>
  <si>
    <t>kW</t>
  </si>
  <si>
    <t>Radiaatorküte</t>
  </si>
  <si>
    <t>Geomeetria</t>
  </si>
  <si>
    <t>Arvutused</t>
  </si>
  <si>
    <t>Ventilatsiooni küte</t>
  </si>
  <si>
    <t>Hoone laius esi/taga fass</t>
  </si>
  <si>
    <t>Hoone ees/taga fass pindala</t>
  </si>
  <si>
    <t>Soe tarbevesi</t>
  </si>
  <si>
    <t>Hoone laius küljed fass</t>
  </si>
  <si>
    <t>Hoone külg fass pindala</t>
  </si>
  <si>
    <t>Hoone katuse laius (ilma parapp)</t>
  </si>
  <si>
    <t>Kogu hoone ees/taga fass pindala</t>
  </si>
  <si>
    <t>Hoone katuse pikkus(ilma parap</t>
  </si>
  <si>
    <t>Kogu hoone külg fass pindala</t>
  </si>
  <si>
    <t>Kõik fass koos</t>
  </si>
  <si>
    <t>Hoone kõrgus (esimese korruse akna ül. Serv)</t>
  </si>
  <si>
    <t>Katus pindala</t>
  </si>
  <si>
    <t>Neto suletatud pindala</t>
  </si>
  <si>
    <t>C111</t>
  </si>
  <si>
    <t>C112</t>
  </si>
  <si>
    <t>C113</t>
  </si>
  <si>
    <t>C114</t>
  </si>
  <si>
    <t>C211</t>
  </si>
  <si>
    <t>C212</t>
  </si>
  <si>
    <t>C213</t>
  </si>
  <si>
    <t>C214</t>
  </si>
  <si>
    <t>C223</t>
  </si>
  <si>
    <t>C224</t>
  </si>
  <si>
    <t>A213</t>
  </si>
  <si>
    <t>A214</t>
  </si>
  <si>
    <t>Narva</t>
  </si>
  <si>
    <t>Rakvere</t>
  </si>
  <si>
    <t>Valga</t>
  </si>
  <si>
    <t>Jõgeva</t>
  </si>
  <si>
    <t>Jõhvi</t>
  </si>
  <si>
    <t>Türi</t>
  </si>
  <si>
    <t>Kuressaare</t>
  </si>
  <si>
    <t>Haapsalu</t>
  </si>
  <si>
    <t>Kärdla</t>
  </si>
  <si>
    <t>mehaaniline</t>
  </si>
  <si>
    <t>soojuspump</t>
  </si>
  <si>
    <t>Korterti arv</t>
  </si>
  <si>
    <t>Uued piirdetarindid</t>
  </si>
  <si>
    <t>Kaod mehaaniline</t>
  </si>
  <si>
    <t>U (m2K/W)</t>
  </si>
  <si>
    <t>Olukord enne soojustamist</t>
  </si>
  <si>
    <t>Pärast soojustamist</t>
  </si>
  <si>
    <t>Vooluhulk</t>
  </si>
  <si>
    <t>enne soojustamist (kW)</t>
  </si>
  <si>
    <t>pärast soojustamist (kW)</t>
  </si>
  <si>
    <t>Soojuskaod kokku (raadiatorkyte)</t>
  </si>
  <si>
    <t>Mehaaniline vent (pärast renoveerimist)</t>
  </si>
  <si>
    <t>Väljatõmbe soojuspump (pärast renoveerimist)</t>
  </si>
  <si>
    <t>Toode</t>
  </si>
  <si>
    <t>Materjal</t>
  </si>
  <si>
    <t>Heitmetegur</t>
  </si>
  <si>
    <t>Galvinized steel</t>
  </si>
  <si>
    <t>chrome-extension://efaidnbmnnnibpcajpcglclefindmkaj/https://www.etsnord.fi/wp-content/uploads/NTO-spiral-duct-EPD-ETS-NORD.pdf</t>
  </si>
  <si>
    <t>PE</t>
  </si>
  <si>
    <t>Kaal (kg) per m</t>
  </si>
  <si>
    <t>Kogu kaal (soojuspump)</t>
  </si>
  <si>
    <t>Küte kogused</t>
  </si>
  <si>
    <t>Ventilatsiooni kogused</t>
  </si>
  <si>
    <t>Küte CO2 väärtused</t>
  </si>
  <si>
    <t>CO2 Kg</t>
  </si>
  <si>
    <t>Terasplekk</t>
  </si>
  <si>
    <t>Terastoru</t>
  </si>
  <si>
    <t>Metall</t>
  </si>
  <si>
    <t>lehtterasplaat</t>
  </si>
  <si>
    <t>tsingitudplekk</t>
  </si>
  <si>
    <t>Ventilatsiooni CO2 väärtused</t>
  </si>
  <si>
    <t>Kogu</t>
  </si>
  <si>
    <t>1t</t>
  </si>
  <si>
    <t>2t</t>
  </si>
  <si>
    <t>3t</t>
  </si>
  <si>
    <t>4t</t>
  </si>
  <si>
    <t>Võru</t>
  </si>
  <si>
    <t xml:space="preserve">Andmed on kättesaadavad ehitusregistrist, hoone mõõtmete all. Kui andmeid ei ole, siis tuleb mõõta käsitsi kaardi rakendusega. </t>
  </si>
  <si>
    <t>Palun kirjutada järgnevate piirdetarindite soojusläbivuse väärtused, mida Te soovite saavuta renoveerimise jooksul, need mõjutavad radiaatorküte koormust.</t>
  </si>
  <si>
    <t>Läheandmed</t>
  </si>
  <si>
    <t>Küte ja ventilatsiooni väärtused õhuvooluga ning radiaatorküte koormuse määramiseks</t>
  </si>
  <si>
    <t>Küttetorustiku eritööd</t>
  </si>
  <si>
    <t>Küttekehad eritööd</t>
  </si>
  <si>
    <t>Katlmaja, soojussõlm</t>
  </si>
  <si>
    <t>Kokku (ilma KM)</t>
  </si>
  <si>
    <t>Ventilatsiooniseadmed</t>
  </si>
  <si>
    <t>Ventilatsioonitorustikud</t>
  </si>
  <si>
    <t>Ventilatsiooni armatuuri eritöö</t>
  </si>
  <si>
    <t>Ventilatsioonitorustikud eritööd</t>
  </si>
  <si>
    <t>Mehaaniline ventilatsioon</t>
  </si>
  <si>
    <t>Väljatõmbe soojuspumba ventilatsioonisüsteem</t>
  </si>
  <si>
    <t>Mehaaniline ventilatsioonisüsteemi</t>
  </si>
  <si>
    <t>Tegur</t>
  </si>
  <si>
    <t>fassaadi soojustuse sisse paigaldav plasttoru</t>
  </si>
  <si>
    <t>fassaadi soojustuse sisse paigldav plasttoru (jm)</t>
  </si>
  <si>
    <t>katuse soojustuse sisse paigaldav plasttoru (jm)</t>
  </si>
  <si>
    <t>katuse soojustuse sisse paigaldav plekktorustik (jm)</t>
  </si>
  <si>
    <t>katusel nähtav torustik (jm)</t>
  </si>
  <si>
    <t>Projektijärgsed keskmised tulemused ühe trepikoda ja korruse kohta</t>
  </si>
  <si>
    <t>Ventilatsiooni lahendus</t>
  </si>
  <si>
    <t>Küte radiaatorid</t>
  </si>
  <si>
    <t>Radiaatorküte torustik (jm)</t>
  </si>
  <si>
    <t>Ventilatsiooniküte torustik (jm)</t>
  </si>
  <si>
    <t>Kogu kaal (mehaaniline)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</si>
</sst>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Times New Roman"/>
      <family val="1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2" xfId="0" applyBorder="1"/>
    <xf numFmtId="1" fontId="0" fillId="0" borderId="1" xfId="0" applyNumberFormat="1" applyBorder="1" applyAlignment="1">
      <alignment horizontal="center"/>
    </xf>
    <xf numFmtId="164" fontId="0" fillId="0" borderId="1" xfId="0" applyNumberFormat="1" applyBorder="1"/>
    <xf numFmtId="1" fontId="0" fillId="0" borderId="1" xfId="0" applyNumberFormat="1" applyBorder="1"/>
    <xf numFmtId="0" fontId="4" fillId="0" borderId="1" xfId="0" applyFont="1" applyBorder="1"/>
    <xf numFmtId="16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164" fontId="1" fillId="0" borderId="1" xfId="1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wrapText="1"/>
    </xf>
    <xf numFmtId="1" fontId="0" fillId="0" borderId="1" xfId="0" applyNumberFormat="1" applyBorder="1" applyAlignment="1">
      <alignment wrapText="1"/>
    </xf>
    <xf numFmtId="165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/>
    </xf>
    <xf numFmtId="0" fontId="2" fillId="0" borderId="1" xfId="0" applyFont="1" applyBorder="1"/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</cellXfs>
  <cellStyles count="2">
    <cellStyle name="Normaallaad 2" xfId="1" xr:uid="{88D28612-C13A-4ADC-860E-D9D1CB816F0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333375</xdr:colOff>
      <xdr:row>4</xdr:row>
      <xdr:rowOff>171449</xdr:rowOff>
    </xdr:from>
    <xdr:to>
      <xdr:col>18</xdr:col>
      <xdr:colOff>533400</xdr:colOff>
      <xdr:row>20</xdr:row>
      <xdr:rowOff>156062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EEEEAD-7BAD-437E-263C-5DF1DFCB98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658975" y="933449"/>
          <a:ext cx="3857625" cy="30326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H25"/>
  <sheetViews>
    <sheetView tabSelected="1" zoomScale="115" zoomScaleNormal="115" workbookViewId="0">
      <selection activeCell="J5" sqref="J5"/>
    </sheetView>
  </sheetViews>
  <sheetFormatPr defaultRowHeight="15" x14ac:dyDescent="0.25"/>
  <cols>
    <col min="3" max="3" width="29.42578125" customWidth="1"/>
    <col min="4" max="4" width="12.140625" customWidth="1"/>
    <col min="5" max="5" width="13.28515625" customWidth="1"/>
    <col min="8" max="8" width="17.42578125" customWidth="1"/>
  </cols>
  <sheetData>
    <row r="2" spans="3:8" x14ac:dyDescent="0.25">
      <c r="C2" s="34" t="s">
        <v>0</v>
      </c>
      <c r="D2" s="34"/>
      <c r="E2" s="34"/>
    </row>
    <row r="3" spans="3:8" x14ac:dyDescent="0.25">
      <c r="C3" s="34"/>
      <c r="D3" s="34"/>
      <c r="E3" s="34"/>
    </row>
    <row r="4" spans="3:8" x14ac:dyDescent="0.25">
      <c r="C4" s="5" t="s">
        <v>300</v>
      </c>
      <c r="D4" s="5" t="s">
        <v>13</v>
      </c>
      <c r="E4" s="5" t="s">
        <v>14</v>
      </c>
    </row>
    <row r="5" spans="3:8" x14ac:dyDescent="0.25">
      <c r="C5" s="1" t="s">
        <v>1</v>
      </c>
      <c r="D5" s="2" t="s">
        <v>2</v>
      </c>
      <c r="E5" s="4"/>
    </row>
    <row r="6" spans="3:8" x14ac:dyDescent="0.25">
      <c r="C6" s="1" t="s">
        <v>3</v>
      </c>
      <c r="D6" s="2">
        <v>5</v>
      </c>
      <c r="E6" s="4" t="s">
        <v>50</v>
      </c>
    </row>
    <row r="7" spans="3:8" x14ac:dyDescent="0.25">
      <c r="C7" s="1" t="s">
        <v>4</v>
      </c>
      <c r="D7" s="2">
        <v>4</v>
      </c>
      <c r="E7" s="4" t="s">
        <v>50</v>
      </c>
    </row>
    <row r="8" spans="3:8" x14ac:dyDescent="0.25">
      <c r="C8" s="1" t="s">
        <v>5</v>
      </c>
      <c r="D8" s="2">
        <f>SUM(D10:D13)</f>
        <v>60</v>
      </c>
      <c r="E8" s="4" t="s">
        <v>50</v>
      </c>
    </row>
    <row r="9" spans="3:8" x14ac:dyDescent="0.25">
      <c r="C9" s="1" t="s">
        <v>6</v>
      </c>
      <c r="D9" s="2" t="s">
        <v>7</v>
      </c>
      <c r="E9" s="4"/>
    </row>
    <row r="10" spans="3:8" x14ac:dyDescent="0.25">
      <c r="C10" s="1" t="s">
        <v>8</v>
      </c>
      <c r="D10" s="2">
        <v>11</v>
      </c>
      <c r="E10" s="4" t="s">
        <v>50</v>
      </c>
    </row>
    <row r="11" spans="3:8" x14ac:dyDescent="0.25">
      <c r="C11" s="1" t="s">
        <v>9</v>
      </c>
      <c r="D11" s="2">
        <v>38</v>
      </c>
      <c r="E11" s="4" t="s">
        <v>50</v>
      </c>
    </row>
    <row r="12" spans="3:8" x14ac:dyDescent="0.25">
      <c r="C12" s="1" t="s">
        <v>10</v>
      </c>
      <c r="D12" s="2">
        <v>11</v>
      </c>
      <c r="E12" s="4" t="s">
        <v>50</v>
      </c>
    </row>
    <row r="13" spans="3:8" x14ac:dyDescent="0.25">
      <c r="C13" s="1" t="s">
        <v>11</v>
      </c>
      <c r="D13" s="2">
        <v>0</v>
      </c>
      <c r="E13" s="4" t="s">
        <v>50</v>
      </c>
    </row>
    <row r="15" spans="3:8" x14ac:dyDescent="0.25">
      <c r="C15" s="5" t="s">
        <v>12</v>
      </c>
      <c r="D15" s="5" t="s">
        <v>13</v>
      </c>
      <c r="E15" s="5" t="s">
        <v>14</v>
      </c>
    </row>
    <row r="16" spans="3:8" x14ac:dyDescent="0.25">
      <c r="C16" s="5" t="s">
        <v>15</v>
      </c>
      <c r="D16" s="25">
        <v>57.5</v>
      </c>
      <c r="E16" s="4" t="s">
        <v>16</v>
      </c>
      <c r="F16" s="34" t="s">
        <v>298</v>
      </c>
      <c r="G16" s="34"/>
      <c r="H16" s="34"/>
    </row>
    <row r="17" spans="3:8" x14ac:dyDescent="0.25">
      <c r="C17" s="5" t="s">
        <v>17</v>
      </c>
      <c r="D17" s="25">
        <v>12.2</v>
      </c>
      <c r="E17" s="4" t="s">
        <v>16</v>
      </c>
      <c r="F17" s="34"/>
      <c r="G17" s="34"/>
      <c r="H17" s="34"/>
    </row>
    <row r="18" spans="3:8" x14ac:dyDescent="0.25">
      <c r="C18" s="5" t="s">
        <v>18</v>
      </c>
      <c r="D18" s="25">
        <v>14.8</v>
      </c>
      <c r="E18" s="4" t="s">
        <v>16</v>
      </c>
      <c r="F18" s="34"/>
      <c r="G18" s="34"/>
      <c r="H18" s="34"/>
    </row>
    <row r="20" spans="3:8" x14ac:dyDescent="0.25">
      <c r="C20" s="5" t="s">
        <v>263</v>
      </c>
      <c r="D20" s="5" t="s">
        <v>13</v>
      </c>
      <c r="E20" s="5" t="s">
        <v>14</v>
      </c>
    </row>
    <row r="21" spans="3:8" x14ac:dyDescent="0.25">
      <c r="C21" s="1" t="s">
        <v>202</v>
      </c>
      <c r="D21" s="2">
        <v>0.16</v>
      </c>
      <c r="E21" s="4" t="s">
        <v>203</v>
      </c>
      <c r="F21" s="34" t="s">
        <v>299</v>
      </c>
      <c r="G21" s="34"/>
      <c r="H21" s="34"/>
    </row>
    <row r="22" spans="3:8" x14ac:dyDescent="0.25">
      <c r="C22" s="1" t="s">
        <v>207</v>
      </c>
      <c r="D22" s="2">
        <v>0.35</v>
      </c>
      <c r="E22" s="4" t="s">
        <v>203</v>
      </c>
      <c r="F22" s="34"/>
      <c r="G22" s="34"/>
      <c r="H22" s="34"/>
    </row>
    <row r="23" spans="3:8" x14ac:dyDescent="0.25">
      <c r="C23" s="1" t="s">
        <v>209</v>
      </c>
      <c r="D23" s="2">
        <v>0.1</v>
      </c>
      <c r="E23" s="4" t="s">
        <v>203</v>
      </c>
      <c r="F23" s="34"/>
      <c r="G23" s="34"/>
      <c r="H23" s="34"/>
    </row>
    <row r="24" spans="3:8" x14ac:dyDescent="0.25">
      <c r="C24" s="1" t="s">
        <v>217</v>
      </c>
      <c r="D24" s="2">
        <v>1.2</v>
      </c>
      <c r="E24" s="4" t="s">
        <v>203</v>
      </c>
      <c r="F24" s="34"/>
      <c r="G24" s="34"/>
      <c r="H24" s="34"/>
    </row>
    <row r="25" spans="3:8" x14ac:dyDescent="0.25">
      <c r="C25" s="1" t="s">
        <v>218</v>
      </c>
      <c r="D25" s="2">
        <v>1.2</v>
      </c>
      <c r="E25" s="4" t="s">
        <v>203</v>
      </c>
      <c r="F25" s="34"/>
      <c r="G25" s="34"/>
      <c r="H25" s="34"/>
    </row>
  </sheetData>
  <mergeCells count="3">
    <mergeCell ref="C2:E3"/>
    <mergeCell ref="F16:H18"/>
    <mergeCell ref="F21:H25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8801F7A-2505-47EC-9859-F0648CA33D3E}">
          <x14:formula1>
            <xm:f>'Lah. kirj. andmed'!$B$72:$B$86</xm:f>
          </x14:formula1>
          <xm:sqref>D5</xm:sqref>
        </x14:dataValidation>
        <x14:dataValidation type="list" allowBlank="1" showInputMessage="1" showErrorMessage="1" xr:uid="{2A8FA164-A858-4E4A-A538-87486BD254E6}">
          <x14:formula1>
            <xm:f>'Lah. kirj. andmed'!$C$72:$C$86</xm:f>
          </x14:formula1>
          <xm:sqref>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49F19-F299-4E43-B8DA-A4093D307E57}">
  <dimension ref="B2:U123"/>
  <sheetViews>
    <sheetView topLeftCell="M5" zoomScale="85" zoomScaleNormal="85" workbookViewId="0">
      <selection activeCell="C33" sqref="C33"/>
    </sheetView>
  </sheetViews>
  <sheetFormatPr defaultRowHeight="15" x14ac:dyDescent="0.25"/>
  <cols>
    <col min="2" max="2" width="39.140625" customWidth="1"/>
    <col min="3" max="3" width="28.42578125" customWidth="1"/>
    <col min="4" max="4" width="27.7109375" customWidth="1"/>
    <col min="5" max="5" width="22.140625" customWidth="1"/>
    <col min="6" max="6" width="21" customWidth="1"/>
    <col min="9" max="9" width="31.85546875" customWidth="1"/>
    <col min="10" max="10" width="20.42578125" customWidth="1"/>
    <col min="11" max="11" width="25" customWidth="1"/>
    <col min="13" max="13" width="28.5703125" customWidth="1"/>
    <col min="14" max="14" width="19.85546875" customWidth="1"/>
    <col min="15" max="15" width="24.7109375" customWidth="1"/>
    <col min="18" max="18" width="31.85546875" bestFit="1" customWidth="1"/>
    <col min="19" max="19" width="22.140625" customWidth="1"/>
    <col min="20" max="20" width="18" customWidth="1"/>
  </cols>
  <sheetData>
    <row r="2" spans="2:21" ht="15" customHeight="1" x14ac:dyDescent="0.25">
      <c r="B2" s="39" t="s">
        <v>19</v>
      </c>
      <c r="C2" s="41"/>
      <c r="F2" s="44" t="s">
        <v>20</v>
      </c>
      <c r="G2" s="44"/>
    </row>
    <row r="3" spans="2:21" x14ac:dyDescent="0.25">
      <c r="B3" s="9" t="s">
        <v>21</v>
      </c>
      <c r="C3" s="1" t="s">
        <v>22</v>
      </c>
      <c r="F3" s="44"/>
      <c r="G3" s="44"/>
    </row>
    <row r="4" spans="2:21" x14ac:dyDescent="0.25">
      <c r="B4" s="1" t="s">
        <v>25</v>
      </c>
      <c r="C4" s="1" t="s">
        <v>26</v>
      </c>
    </row>
    <row r="5" spans="2:21" x14ac:dyDescent="0.25">
      <c r="B5" s="1" t="s">
        <v>29</v>
      </c>
    </row>
    <row r="6" spans="2:21" x14ac:dyDescent="0.25">
      <c r="B6" s="1" t="s">
        <v>31</v>
      </c>
      <c r="D6" s="1" t="s">
        <v>3</v>
      </c>
      <c r="E6" s="2">
        <f>Lähteandmed!D6</f>
        <v>5</v>
      </c>
    </row>
    <row r="7" spans="2:21" x14ac:dyDescent="0.25">
      <c r="B7" s="1" t="s">
        <v>33</v>
      </c>
      <c r="D7" s="1" t="s">
        <v>4</v>
      </c>
      <c r="E7" s="2">
        <f>Lähteandmed!D7</f>
        <v>4</v>
      </c>
    </row>
    <row r="8" spans="2:21" x14ac:dyDescent="0.25">
      <c r="B8" s="1" t="s">
        <v>34</v>
      </c>
    </row>
    <row r="11" spans="2:21" ht="29.25" customHeight="1" x14ac:dyDescent="0.25">
      <c r="B11" s="38" t="s">
        <v>301</v>
      </c>
      <c r="C11" s="38"/>
      <c r="D11" s="38"/>
      <c r="F11" s="8" t="s">
        <v>35</v>
      </c>
      <c r="G11" s="1" t="s">
        <v>36</v>
      </c>
      <c r="I11" s="38" t="s">
        <v>321</v>
      </c>
      <c r="J11" s="38"/>
      <c r="K11" s="38"/>
      <c r="M11" s="38" t="s">
        <v>38</v>
      </c>
      <c r="N11" s="38"/>
      <c r="O11" s="38"/>
      <c r="R11" s="35" t="s">
        <v>39</v>
      </c>
      <c r="S11" s="36"/>
      <c r="T11" s="36"/>
      <c r="U11" s="37"/>
    </row>
    <row r="12" spans="2:21" x14ac:dyDescent="0.25">
      <c r="B12" s="1" t="s">
        <v>40</v>
      </c>
      <c r="C12" s="4" t="s">
        <v>41</v>
      </c>
      <c r="D12" s="4" t="s">
        <v>42</v>
      </c>
      <c r="F12" s="1" t="s">
        <v>43</v>
      </c>
      <c r="G12" s="1">
        <v>30</v>
      </c>
      <c r="I12" s="1" t="s">
        <v>40</v>
      </c>
      <c r="J12" s="4" t="s">
        <v>41</v>
      </c>
      <c r="K12" s="4" t="s">
        <v>42</v>
      </c>
      <c r="M12" s="1" t="s">
        <v>40</v>
      </c>
      <c r="N12" s="4" t="s">
        <v>41</v>
      </c>
      <c r="O12" s="4" t="s">
        <v>42</v>
      </c>
      <c r="R12" s="1" t="s">
        <v>44</v>
      </c>
      <c r="S12" s="4" t="s">
        <v>41</v>
      </c>
      <c r="T12" s="1" t="s">
        <v>42</v>
      </c>
      <c r="U12" s="1" t="s">
        <v>14</v>
      </c>
    </row>
    <row r="13" spans="2:21" x14ac:dyDescent="0.25">
      <c r="B13" s="1" t="s">
        <v>45</v>
      </c>
      <c r="C13" s="4">
        <v>21</v>
      </c>
      <c r="D13" s="4">
        <v>21</v>
      </c>
      <c r="F13" s="1" t="s">
        <v>46</v>
      </c>
      <c r="G13" s="1">
        <v>44.6</v>
      </c>
      <c r="I13" s="1" t="s">
        <v>47</v>
      </c>
      <c r="J13" s="4">
        <v>2</v>
      </c>
      <c r="K13" s="4">
        <v>2</v>
      </c>
      <c r="M13" s="1" t="s">
        <v>48</v>
      </c>
      <c r="N13" s="4">
        <v>1</v>
      </c>
      <c r="O13" s="4">
        <v>0</v>
      </c>
      <c r="R13" s="1" t="s">
        <v>49</v>
      </c>
      <c r="S13" s="4">
        <f>(N18*$C$43)+(N18*$E$43)+($C$44*N19)+($E$44*N19)+(N20*$C$45)+(N20*$E$45)+(N21*$C$46)+(N21*$E$46)+($N$22*$E$7)</f>
        <v>128</v>
      </c>
      <c r="T13" s="4">
        <f>(O18*$C$43)+(O18*$E$43)+($C$44*O19)+($E$44*O19)+(O20*$C$45)+(O20*$E$45)+(O21*$C$46)+(O21*$E$46)+($O$22*$E$7)</f>
        <v>128</v>
      </c>
      <c r="U13" s="1" t="s">
        <v>50</v>
      </c>
    </row>
    <row r="14" spans="2:21" x14ac:dyDescent="0.25">
      <c r="B14" s="1" t="s">
        <v>51</v>
      </c>
      <c r="C14" s="4">
        <v>21</v>
      </c>
      <c r="D14" s="4">
        <v>21</v>
      </c>
      <c r="F14" s="1" t="s">
        <v>52</v>
      </c>
      <c r="G14" s="1">
        <v>53.9</v>
      </c>
      <c r="I14" s="1"/>
      <c r="J14" s="4"/>
      <c r="K14" s="4"/>
      <c r="M14" s="1" t="s">
        <v>53</v>
      </c>
      <c r="N14" s="4">
        <v>2</v>
      </c>
      <c r="O14" s="4">
        <v>0</v>
      </c>
      <c r="R14" s="1" t="s">
        <v>54</v>
      </c>
      <c r="S14" s="4">
        <f>(N13*$C$43)+(N13*$E$43)+($C$44*N14)+($E$44*N14)+(N15*$C$45)+(N15*$E$45)+(N16*$C$46)+(N16*$E$46)+($N$17*$E$7)</f>
        <v>125</v>
      </c>
      <c r="T14" s="4">
        <f>(O13*$C$43)+(O13*$E$43)+($C$44*O14)+($E$44*O14)+(O15*$C$45)+(O15*$E$45)+(O16*$C$46)+(O16*$E$46)+($O$17*$E$7)</f>
        <v>0</v>
      </c>
      <c r="U14" s="1" t="s">
        <v>50</v>
      </c>
    </row>
    <row r="15" spans="2:21" x14ac:dyDescent="0.25">
      <c r="B15" s="1" t="s">
        <v>55</v>
      </c>
      <c r="C15" s="4">
        <v>22</v>
      </c>
      <c r="D15" s="4">
        <v>22</v>
      </c>
      <c r="F15" s="1" t="s">
        <v>56</v>
      </c>
      <c r="G15" s="1">
        <v>60.4</v>
      </c>
      <c r="I15" s="1" t="s">
        <v>57</v>
      </c>
      <c r="J15" s="4">
        <v>3</v>
      </c>
      <c r="K15" s="4">
        <v>3</v>
      </c>
      <c r="M15" s="1" t="s">
        <v>58</v>
      </c>
      <c r="N15" s="4">
        <v>3</v>
      </c>
      <c r="O15" s="4">
        <v>0</v>
      </c>
      <c r="R15" s="1" t="s">
        <v>59</v>
      </c>
      <c r="S15" s="4">
        <f>(N35*$C$43)+(N35*$E$43)+($C$44*N36)+($E$44*N36)+(N37*$C$45)+(N37*$E$45)+(N38*$C$46)+(N38*$E$46)+(N39*$C$43)+(N39*$E$43)+($C$44*N40)+($E$44*N40)+(N41*$C$45)+(N41*$E$45)+(N42*$C$46)+(N42*$E$46)</f>
        <v>180.10000000000002</v>
      </c>
      <c r="T15" s="4">
        <f>(O35*$C$43)+(O35*$E$43)+($C$44*O36)+($E$44*O36)+(O37*$C$45)+(O37*$E$45)+(O38*$C$46)+(O38*$E$46)+(O39*$C$43)+(O39*$E$43)+($C$44*O40)+($E$44*O40)+(O41*$C$45)+(O41*$E$45)+(O42*$C$46)+(O42*$E$46)</f>
        <v>142.6</v>
      </c>
      <c r="U15" s="1" t="s">
        <v>50</v>
      </c>
    </row>
    <row r="16" spans="2:21" x14ac:dyDescent="0.25">
      <c r="B16" s="1" t="s">
        <v>40</v>
      </c>
      <c r="C16" s="4" t="s">
        <v>41</v>
      </c>
      <c r="D16" s="4" t="s">
        <v>42</v>
      </c>
      <c r="I16" s="1"/>
      <c r="J16" s="4"/>
      <c r="K16" s="4"/>
      <c r="M16" s="1" t="s">
        <v>60</v>
      </c>
      <c r="N16" s="4">
        <v>4</v>
      </c>
      <c r="O16" s="4">
        <v>0</v>
      </c>
      <c r="R16" s="1" t="s">
        <v>61</v>
      </c>
      <c r="S16" s="4">
        <f>(N43*$C$43)+(N43*$E$43)+($C$44*N44)+($E$44*N44)+(N45*$C$45)+(N45*$E$45)+(N46*$C$46)+(N46*$E$46)</f>
        <v>187</v>
      </c>
      <c r="T16" s="4">
        <f>(O43*$C$43)+(O43*$E$43)+($C$44*O44)+($E$44*O44)+(O45*$C$45)+(O45*$E$45)+(O46*$C$46)+(O46*$E$46)</f>
        <v>62</v>
      </c>
      <c r="U16" s="1" t="s">
        <v>50</v>
      </c>
    </row>
    <row r="17" spans="2:21" x14ac:dyDescent="0.25">
      <c r="B17" s="1" t="s">
        <v>62</v>
      </c>
      <c r="C17" s="4">
        <v>6</v>
      </c>
      <c r="D17" s="4">
        <v>6</v>
      </c>
      <c r="F17" s="1" t="s">
        <v>63</v>
      </c>
      <c r="G17" s="1" t="s">
        <v>64</v>
      </c>
      <c r="I17" s="1" t="s">
        <v>65</v>
      </c>
      <c r="J17" s="4">
        <v>4</v>
      </c>
      <c r="K17" s="4">
        <v>4</v>
      </c>
      <c r="M17" s="1" t="s">
        <v>66</v>
      </c>
      <c r="N17" s="4">
        <v>0</v>
      </c>
      <c r="O17" s="4">
        <v>0</v>
      </c>
      <c r="R17" s="1" t="s">
        <v>67</v>
      </c>
      <c r="S17" s="4">
        <f>(N47*$C$43)+(N47*$E$43)+($C$44*N48)+($E$44*N48)+(N49*$C$45)+(N49*$E$45)+(N50*$C$46)+(N50*$E$46)</f>
        <v>62</v>
      </c>
      <c r="T17" s="4">
        <f>(O47*$C$43)+(O47*$E$43)+($C$44*O48)+($E$44*O48)+(O49*$C$45)+(O49*$E$45)+(O50*$C$46)+(O50*$E$46)</f>
        <v>62</v>
      </c>
      <c r="U17" s="1" t="s">
        <v>50</v>
      </c>
    </row>
    <row r="18" spans="2:21" x14ac:dyDescent="0.25">
      <c r="B18" s="1" t="s">
        <v>68</v>
      </c>
      <c r="C18" s="4">
        <v>8</v>
      </c>
      <c r="D18" s="4">
        <v>8</v>
      </c>
      <c r="F18" s="1" t="s">
        <v>69</v>
      </c>
      <c r="G18" s="11">
        <v>20.7</v>
      </c>
      <c r="I18" s="1"/>
      <c r="J18" s="4"/>
      <c r="K18" s="4"/>
      <c r="M18" s="1" t="s">
        <v>70</v>
      </c>
      <c r="N18" s="4">
        <v>2</v>
      </c>
      <c r="O18" s="4">
        <v>2</v>
      </c>
      <c r="R18" s="1" t="s">
        <v>71</v>
      </c>
      <c r="S18" s="10">
        <f>N51*$E$7+E8*N52+N53*$E$7</f>
        <v>24</v>
      </c>
      <c r="T18" s="10">
        <f>O51*$E$7+O53*$E$7</f>
        <v>24</v>
      </c>
      <c r="U18" s="1" t="s">
        <v>50</v>
      </c>
    </row>
    <row r="19" spans="2:21" x14ac:dyDescent="0.25">
      <c r="B19" s="1" t="s">
        <v>72</v>
      </c>
      <c r="C19" s="4">
        <v>8</v>
      </c>
      <c r="D19" s="4">
        <v>8</v>
      </c>
      <c r="F19" s="1" t="s">
        <v>73</v>
      </c>
      <c r="G19" s="11">
        <v>10.25</v>
      </c>
      <c r="I19" s="1" t="s">
        <v>74</v>
      </c>
      <c r="J19" s="4">
        <v>1</v>
      </c>
      <c r="K19" s="4">
        <v>1</v>
      </c>
      <c r="M19" s="1" t="s">
        <v>75</v>
      </c>
      <c r="N19" s="4">
        <v>2</v>
      </c>
      <c r="O19" s="4">
        <v>2</v>
      </c>
      <c r="R19" s="1" t="s">
        <v>76</v>
      </c>
      <c r="S19" s="10">
        <f>$E$6*$E$7*D59</f>
        <v>1794.1822119432927</v>
      </c>
      <c r="T19" s="10">
        <f>$E$6*$E$7*D67</f>
        <v>581.6803741332044</v>
      </c>
      <c r="U19" s="1" t="s">
        <v>77</v>
      </c>
    </row>
    <row r="20" spans="2:21" x14ac:dyDescent="0.25">
      <c r="B20" s="1" t="s">
        <v>78</v>
      </c>
      <c r="C20" s="4">
        <v>15</v>
      </c>
      <c r="D20" s="4">
        <v>15</v>
      </c>
      <c r="F20" s="1" t="s">
        <v>79</v>
      </c>
      <c r="G20" s="11">
        <v>92.23</v>
      </c>
      <c r="I20" s="1" t="s">
        <v>80</v>
      </c>
      <c r="J20" s="4">
        <v>2</v>
      </c>
      <c r="K20" s="4">
        <v>2</v>
      </c>
      <c r="M20" s="1" t="s">
        <v>81</v>
      </c>
      <c r="N20" s="4">
        <v>2</v>
      </c>
      <c r="O20" s="4">
        <v>2</v>
      </c>
      <c r="R20" s="1" t="s">
        <v>82</v>
      </c>
      <c r="S20" s="10">
        <f>$E$7*D60</f>
        <v>742.0526315789474</v>
      </c>
      <c r="T20" s="10">
        <f>$E$7*D68</f>
        <v>333</v>
      </c>
      <c r="U20" s="1" t="s">
        <v>77</v>
      </c>
    </row>
    <row r="21" spans="2:21" x14ac:dyDescent="0.25">
      <c r="B21" s="1" t="s">
        <v>83</v>
      </c>
      <c r="C21" s="4">
        <v>10</v>
      </c>
      <c r="D21" s="4">
        <v>10</v>
      </c>
      <c r="F21" s="1" t="s">
        <v>84</v>
      </c>
      <c r="G21" s="11">
        <v>92.23</v>
      </c>
      <c r="I21" s="1"/>
      <c r="J21" s="4"/>
      <c r="K21" s="4"/>
      <c r="M21" s="1" t="s">
        <v>85</v>
      </c>
      <c r="N21" s="4">
        <v>2</v>
      </c>
      <c r="O21" s="4">
        <v>2</v>
      </c>
      <c r="R21" s="1" t="s">
        <v>86</v>
      </c>
      <c r="S21" s="10">
        <f>$E$7*D61</f>
        <v>213.68421052631578</v>
      </c>
      <c r="T21" s="10">
        <f>$E$7*D69</f>
        <v>133.66666666666666</v>
      </c>
      <c r="U21" s="1" t="s">
        <v>77</v>
      </c>
    </row>
    <row r="22" spans="2:21" x14ac:dyDescent="0.25">
      <c r="B22" s="1" t="s">
        <v>87</v>
      </c>
      <c r="C22" s="4">
        <v>15</v>
      </c>
      <c r="D22" s="4">
        <v>15</v>
      </c>
      <c r="F22" s="1" t="s">
        <v>88</v>
      </c>
      <c r="G22" s="11">
        <v>92.23</v>
      </c>
      <c r="I22" s="1" t="s">
        <v>89</v>
      </c>
      <c r="J22" s="4">
        <v>3</v>
      </c>
      <c r="K22" s="4">
        <v>3</v>
      </c>
      <c r="M22" s="1" t="s">
        <v>90</v>
      </c>
      <c r="N22" s="4">
        <v>1</v>
      </c>
      <c r="O22" s="4">
        <v>1</v>
      </c>
      <c r="R22" s="1" t="s">
        <v>91</v>
      </c>
      <c r="S22" s="10">
        <f>$E$7*D62</f>
        <v>65.89473684210526</v>
      </c>
      <c r="T22" s="10">
        <f>$E$7*D70</f>
        <v>3.6666666666666665</v>
      </c>
      <c r="U22" s="1" t="s">
        <v>77</v>
      </c>
    </row>
    <row r="23" spans="2:21" x14ac:dyDescent="0.25">
      <c r="B23" s="1" t="s">
        <v>92</v>
      </c>
      <c r="C23" s="4">
        <v>15</v>
      </c>
      <c r="D23" s="4">
        <v>15</v>
      </c>
      <c r="F23" s="1" t="s">
        <v>93</v>
      </c>
      <c r="G23" s="11">
        <v>90</v>
      </c>
      <c r="I23" s="1"/>
      <c r="J23" s="4"/>
      <c r="K23" s="4"/>
      <c r="M23" s="1" t="s">
        <v>94</v>
      </c>
      <c r="N23" s="4">
        <f t="shared" ref="N23:O26" si="0">N13+N18</f>
        <v>3</v>
      </c>
      <c r="O23" s="4">
        <f t="shared" si="0"/>
        <v>2</v>
      </c>
    </row>
    <row r="24" spans="2:21" x14ac:dyDescent="0.25">
      <c r="B24" s="1" t="s">
        <v>95</v>
      </c>
      <c r="C24" s="4">
        <v>15</v>
      </c>
      <c r="D24" s="4">
        <v>15</v>
      </c>
      <c r="F24" s="1" t="s">
        <v>96</v>
      </c>
      <c r="G24" s="11">
        <v>15.34</v>
      </c>
      <c r="I24" s="1" t="s">
        <v>97</v>
      </c>
      <c r="J24" s="4">
        <v>4</v>
      </c>
      <c r="K24" s="4">
        <v>4</v>
      </c>
      <c r="M24" s="1" t="s">
        <v>98</v>
      </c>
      <c r="N24" s="4">
        <f t="shared" si="0"/>
        <v>4</v>
      </c>
      <c r="O24" s="4">
        <f t="shared" si="0"/>
        <v>2</v>
      </c>
      <c r="R24" s="35" t="s">
        <v>99</v>
      </c>
      <c r="S24" s="36"/>
      <c r="T24" s="36"/>
      <c r="U24" s="37"/>
    </row>
    <row r="25" spans="2:21" x14ac:dyDescent="0.25">
      <c r="B25" s="1" t="s">
        <v>100</v>
      </c>
      <c r="C25" s="4">
        <v>0</v>
      </c>
      <c r="D25" s="4">
        <v>0</v>
      </c>
      <c r="F25" s="1" t="s">
        <v>101</v>
      </c>
      <c r="G25" s="11">
        <v>9.02</v>
      </c>
      <c r="I25" s="1"/>
      <c r="J25" s="4"/>
      <c r="K25" s="4"/>
      <c r="M25" s="1" t="s">
        <v>102</v>
      </c>
      <c r="N25" s="4">
        <f t="shared" si="0"/>
        <v>5</v>
      </c>
      <c r="O25" s="4">
        <f t="shared" si="0"/>
        <v>2</v>
      </c>
      <c r="R25" s="1" t="s">
        <v>44</v>
      </c>
      <c r="S25" s="4" t="s">
        <v>41</v>
      </c>
      <c r="T25" s="1" t="s">
        <v>42</v>
      </c>
      <c r="U25" s="1" t="s">
        <v>14</v>
      </c>
    </row>
    <row r="26" spans="2:21" x14ac:dyDescent="0.25">
      <c r="B26" s="5" t="s">
        <v>103</v>
      </c>
      <c r="C26" s="4">
        <v>0</v>
      </c>
      <c r="D26" s="4">
        <v>0</v>
      </c>
      <c r="F26" s="1" t="s">
        <v>104</v>
      </c>
      <c r="G26" s="11">
        <v>9.1999999999999993</v>
      </c>
      <c r="I26" s="1" t="s">
        <v>105</v>
      </c>
      <c r="J26" s="4">
        <v>2</v>
      </c>
      <c r="K26" s="4">
        <v>2</v>
      </c>
      <c r="M26" s="1" t="s">
        <v>106</v>
      </c>
      <c r="N26" s="4">
        <f t="shared" si="0"/>
        <v>6</v>
      </c>
      <c r="O26" s="4">
        <f t="shared" si="0"/>
        <v>2</v>
      </c>
      <c r="R26" s="1" t="s">
        <v>49</v>
      </c>
      <c r="S26" s="10">
        <f>S13*$G$25</f>
        <v>1154.56</v>
      </c>
      <c r="T26" s="10">
        <f>T13*$G$25</f>
        <v>1154.56</v>
      </c>
      <c r="U26" s="1" t="s">
        <v>64</v>
      </c>
    </row>
    <row r="27" spans="2:21" x14ac:dyDescent="0.25">
      <c r="B27" s="5" t="s">
        <v>107</v>
      </c>
      <c r="C27" s="4">
        <v>10</v>
      </c>
      <c r="D27" s="4">
        <v>10</v>
      </c>
      <c r="F27" s="1" t="s">
        <v>108</v>
      </c>
      <c r="G27" s="11">
        <v>45</v>
      </c>
      <c r="I27" s="1"/>
      <c r="J27" s="4"/>
      <c r="K27" s="4"/>
      <c r="M27" s="1" t="s">
        <v>109</v>
      </c>
      <c r="N27" s="4">
        <v>1</v>
      </c>
      <c r="O27" s="4">
        <v>1</v>
      </c>
      <c r="R27" s="1" t="s">
        <v>54</v>
      </c>
      <c r="S27" s="10">
        <f>S14*$G$24</f>
        <v>1917.5</v>
      </c>
      <c r="T27" s="10">
        <f>T14*$G$24</f>
        <v>0</v>
      </c>
      <c r="U27" s="1" t="s">
        <v>64</v>
      </c>
    </row>
    <row r="28" spans="2:21" x14ac:dyDescent="0.25">
      <c r="B28" s="5" t="s">
        <v>110</v>
      </c>
      <c r="C28" s="4">
        <v>10</v>
      </c>
      <c r="D28" s="4">
        <v>10</v>
      </c>
      <c r="F28" s="1" t="s">
        <v>111</v>
      </c>
      <c r="G28" s="11">
        <v>6.31</v>
      </c>
      <c r="I28" s="1" t="s">
        <v>112</v>
      </c>
      <c r="J28" s="4">
        <v>3</v>
      </c>
      <c r="K28" s="4">
        <v>3</v>
      </c>
      <c r="M28" s="1" t="s">
        <v>113</v>
      </c>
      <c r="N28" s="4">
        <v>1</v>
      </c>
      <c r="O28" s="4">
        <v>1</v>
      </c>
      <c r="R28" s="1" t="s">
        <v>59</v>
      </c>
      <c r="S28" s="10">
        <f>S15*$G$32</f>
        <v>954.53000000000009</v>
      </c>
      <c r="T28" s="10">
        <f>T15*$G$32</f>
        <v>755.78</v>
      </c>
      <c r="U28" s="1" t="s">
        <v>64</v>
      </c>
    </row>
    <row r="29" spans="2:21" x14ac:dyDescent="0.25">
      <c r="B29" s="1" t="s">
        <v>114</v>
      </c>
      <c r="C29" s="4">
        <v>16</v>
      </c>
      <c r="D29" s="4">
        <v>0</v>
      </c>
      <c r="F29" s="1" t="s">
        <v>115</v>
      </c>
      <c r="G29" s="11">
        <v>38</v>
      </c>
      <c r="I29" s="1"/>
      <c r="J29" s="4"/>
      <c r="K29" s="4"/>
      <c r="M29" s="1" t="s">
        <v>116</v>
      </c>
      <c r="N29" s="4">
        <v>1</v>
      </c>
      <c r="O29" s="4">
        <v>1</v>
      </c>
      <c r="R29" s="1" t="s">
        <v>61</v>
      </c>
      <c r="S29" s="10">
        <f>S16*$G$27</f>
        <v>8415</v>
      </c>
      <c r="T29" s="10">
        <f>T16*$G$27</f>
        <v>2790</v>
      </c>
      <c r="U29" s="1" t="s">
        <v>64</v>
      </c>
    </row>
    <row r="30" spans="2:21" x14ac:dyDescent="0.25">
      <c r="B30" s="1" t="s">
        <v>117</v>
      </c>
      <c r="C30" s="4">
        <v>11.5</v>
      </c>
      <c r="D30" s="4">
        <v>0</v>
      </c>
      <c r="F30" s="1" t="s">
        <v>118</v>
      </c>
      <c r="G30" s="1">
        <v>3.5</v>
      </c>
      <c r="I30" s="1" t="s">
        <v>119</v>
      </c>
      <c r="J30" s="4">
        <v>4</v>
      </c>
      <c r="K30" s="4">
        <v>4</v>
      </c>
      <c r="M30" s="1" t="s">
        <v>120</v>
      </c>
      <c r="N30" s="4">
        <v>1</v>
      </c>
      <c r="O30" s="4">
        <v>1</v>
      </c>
      <c r="R30" s="1" t="s">
        <v>67</v>
      </c>
      <c r="S30" s="10">
        <f>S17*$G$28</f>
        <v>391.21999999999997</v>
      </c>
      <c r="T30" s="10">
        <f>T17*$G$28</f>
        <v>391.21999999999997</v>
      </c>
      <c r="U30" s="1" t="s">
        <v>64</v>
      </c>
    </row>
    <row r="31" spans="2:21" x14ac:dyDescent="0.25">
      <c r="B31" s="1" t="s">
        <v>121</v>
      </c>
      <c r="C31" s="4">
        <v>11</v>
      </c>
      <c r="D31" s="4">
        <v>0</v>
      </c>
      <c r="F31" s="1" t="s">
        <v>122</v>
      </c>
      <c r="G31" s="1">
        <v>9.67</v>
      </c>
      <c r="I31" s="1"/>
      <c r="J31" s="4"/>
      <c r="K31" s="4"/>
      <c r="M31" s="1" t="s">
        <v>123</v>
      </c>
      <c r="N31" s="4">
        <v>1</v>
      </c>
      <c r="O31" s="4">
        <v>1</v>
      </c>
      <c r="R31" s="1" t="s">
        <v>71</v>
      </c>
      <c r="S31" s="10">
        <f>S18*$G$29</f>
        <v>912</v>
      </c>
      <c r="T31" s="10">
        <f>T18*$G$29</f>
        <v>912</v>
      </c>
      <c r="U31" s="1" t="s">
        <v>64</v>
      </c>
    </row>
    <row r="32" spans="2:21" x14ac:dyDescent="0.25">
      <c r="B32" s="1" t="s">
        <v>124</v>
      </c>
      <c r="C32" s="4">
        <v>10</v>
      </c>
      <c r="D32" s="4">
        <v>0</v>
      </c>
      <c r="F32" s="1" t="s">
        <v>125</v>
      </c>
      <c r="G32" s="1">
        <v>5.3</v>
      </c>
      <c r="I32" s="1" t="s">
        <v>126</v>
      </c>
      <c r="J32" s="4">
        <v>0</v>
      </c>
      <c r="K32" s="4">
        <v>1</v>
      </c>
      <c r="M32" s="1" t="s">
        <v>127</v>
      </c>
      <c r="N32" s="4">
        <v>1</v>
      </c>
      <c r="O32" s="4">
        <v>1</v>
      </c>
      <c r="R32" s="1" t="s">
        <v>76</v>
      </c>
      <c r="S32" s="10">
        <f>S19*$G$33</f>
        <v>15447.908844831749</v>
      </c>
      <c r="T32" s="10">
        <f>T19*$G$33</f>
        <v>5008.26802128689</v>
      </c>
      <c r="U32" s="1" t="s">
        <v>64</v>
      </c>
    </row>
    <row r="33" spans="2:21" x14ac:dyDescent="0.25">
      <c r="B33" s="5" t="s">
        <v>128</v>
      </c>
      <c r="C33" s="4">
        <f>C29</f>
        <v>16</v>
      </c>
      <c r="D33" s="4">
        <v>0</v>
      </c>
      <c r="F33" s="1" t="s">
        <v>129</v>
      </c>
      <c r="G33" s="1">
        <v>8.61</v>
      </c>
      <c r="I33" s="1"/>
      <c r="J33" s="4"/>
      <c r="K33" s="4"/>
      <c r="M33" s="1" t="s">
        <v>130</v>
      </c>
      <c r="N33" s="4">
        <v>1</v>
      </c>
      <c r="O33" s="4">
        <v>1</v>
      </c>
      <c r="R33" s="1" t="s">
        <v>82</v>
      </c>
      <c r="S33" s="10">
        <f>S20*$G$34</f>
        <v>4823.3421052631584</v>
      </c>
      <c r="T33" s="10">
        <f>T20*$G$34</f>
        <v>2164.5</v>
      </c>
      <c r="U33" s="1" t="s">
        <v>64</v>
      </c>
    </row>
    <row r="34" spans="2:21" x14ac:dyDescent="0.25">
      <c r="B34" s="5" t="s">
        <v>131</v>
      </c>
      <c r="C34" s="4">
        <f>2*C30</f>
        <v>23</v>
      </c>
      <c r="D34" s="4">
        <v>0</v>
      </c>
      <c r="F34" s="1" t="s">
        <v>132</v>
      </c>
      <c r="G34" s="1">
        <v>6.5</v>
      </c>
      <c r="I34" s="1" t="s">
        <v>133</v>
      </c>
      <c r="J34" s="4">
        <v>0</v>
      </c>
      <c r="K34" s="4">
        <v>2</v>
      </c>
      <c r="M34" s="1" t="s">
        <v>134</v>
      </c>
      <c r="N34" s="4">
        <v>1</v>
      </c>
      <c r="O34" s="4">
        <v>1</v>
      </c>
      <c r="R34" s="1" t="s">
        <v>86</v>
      </c>
      <c r="S34" s="10">
        <f>S21*$G$35</f>
        <v>6410.5263157894733</v>
      </c>
      <c r="T34" s="10">
        <f>T21*$G$35</f>
        <v>4009.9999999999995</v>
      </c>
      <c r="U34" s="1" t="s">
        <v>64</v>
      </c>
    </row>
    <row r="35" spans="2:21" x14ac:dyDescent="0.25">
      <c r="B35" s="5" t="s">
        <v>135</v>
      </c>
      <c r="C35" s="4">
        <f>C31*3</f>
        <v>33</v>
      </c>
      <c r="D35" s="4">
        <v>0</v>
      </c>
      <c r="F35" s="1" t="s">
        <v>136</v>
      </c>
      <c r="G35" s="1">
        <v>30</v>
      </c>
      <c r="I35" s="1"/>
      <c r="J35" s="4"/>
      <c r="K35" s="4"/>
      <c r="M35" s="1" t="s">
        <v>137</v>
      </c>
      <c r="N35" s="4">
        <v>0.3</v>
      </c>
      <c r="O35" s="4">
        <v>0</v>
      </c>
      <c r="R35" s="1" t="s">
        <v>91</v>
      </c>
      <c r="S35" s="10">
        <f>S22*$G$36</f>
        <v>6589.4736842105258</v>
      </c>
      <c r="T35" s="10">
        <f>T22*$G$36</f>
        <v>366.66666666666663</v>
      </c>
      <c r="U35" s="1" t="s">
        <v>64</v>
      </c>
    </row>
    <row r="36" spans="2:21" x14ac:dyDescent="0.25">
      <c r="B36" s="5" t="s">
        <v>138</v>
      </c>
      <c r="C36" s="4">
        <f>C32*4</f>
        <v>40</v>
      </c>
      <c r="D36" s="4">
        <v>0</v>
      </c>
      <c r="F36" s="1" t="s">
        <v>139</v>
      </c>
      <c r="G36" s="1">
        <v>100</v>
      </c>
      <c r="I36" s="1" t="s">
        <v>140</v>
      </c>
      <c r="J36" s="4">
        <v>0</v>
      </c>
      <c r="K36" s="4">
        <v>3</v>
      </c>
      <c r="M36" s="1" t="s">
        <v>141</v>
      </c>
      <c r="N36" s="4">
        <v>0.6</v>
      </c>
      <c r="O36" s="4">
        <v>0</v>
      </c>
      <c r="R36" s="1" t="s">
        <v>306</v>
      </c>
      <c r="S36" s="10">
        <f>(SUM(S26:S27)+SUM(S29:S31))*1.4</f>
        <v>17906.391999999996</v>
      </c>
      <c r="T36" s="10">
        <f>(SUM(T26:T27)+SUM(T29:T31))*1.25</f>
        <v>6559.7249999999995</v>
      </c>
      <c r="U36" s="1" t="s">
        <v>64</v>
      </c>
    </row>
    <row r="37" spans="2:21" x14ac:dyDescent="0.25">
      <c r="B37" s="5" t="s">
        <v>142</v>
      </c>
      <c r="C37" s="4">
        <f t="shared" ref="C37:D40" si="1">C17+C21+C25</f>
        <v>16</v>
      </c>
      <c r="D37" s="4">
        <f t="shared" si="1"/>
        <v>16</v>
      </c>
      <c r="I37" s="1"/>
      <c r="J37" s="4"/>
      <c r="K37" s="4"/>
      <c r="M37" s="1" t="s">
        <v>143</v>
      </c>
      <c r="N37" s="4">
        <v>0.9</v>
      </c>
      <c r="O37" s="4">
        <v>0</v>
      </c>
      <c r="R37" s="1" t="s">
        <v>307</v>
      </c>
      <c r="S37" s="10">
        <f>(SUM(S28)+SUM(S32:S35))*4.3</f>
        <v>147170.85808540811</v>
      </c>
      <c r="T37" s="10">
        <f>(SUM(T28)+SUM(T32:T35))*3.9</f>
        <v>47990.337283018867</v>
      </c>
      <c r="U37" s="1" t="s">
        <v>64</v>
      </c>
    </row>
    <row r="38" spans="2:21" x14ac:dyDescent="0.25">
      <c r="B38" s="5" t="s">
        <v>144</v>
      </c>
      <c r="C38" s="4">
        <f t="shared" si="1"/>
        <v>23</v>
      </c>
      <c r="D38" s="4">
        <f t="shared" si="1"/>
        <v>23</v>
      </c>
      <c r="M38" s="1" t="s">
        <v>145</v>
      </c>
      <c r="N38" s="10">
        <v>1.2</v>
      </c>
      <c r="O38" s="10">
        <v>0</v>
      </c>
    </row>
    <row r="39" spans="2:21" x14ac:dyDescent="0.25">
      <c r="B39" s="1" t="s">
        <v>146</v>
      </c>
      <c r="C39" s="4">
        <f t="shared" si="1"/>
        <v>33</v>
      </c>
      <c r="D39" s="4">
        <f t="shared" si="1"/>
        <v>33</v>
      </c>
      <c r="F39">
        <v>374</v>
      </c>
      <c r="M39" s="1" t="s">
        <v>147</v>
      </c>
      <c r="N39" s="10">
        <v>2.2999999999999998</v>
      </c>
      <c r="O39" s="10">
        <v>2.2999999999999998</v>
      </c>
    </row>
    <row r="40" spans="2:21" ht="15" customHeight="1" x14ac:dyDescent="0.25">
      <c r="B40" s="1" t="s">
        <v>148</v>
      </c>
      <c r="C40" s="4">
        <f t="shared" si="1"/>
        <v>40</v>
      </c>
      <c r="D40" s="4">
        <f t="shared" si="1"/>
        <v>40</v>
      </c>
      <c r="M40" s="1" t="s">
        <v>149</v>
      </c>
      <c r="N40" s="10">
        <v>2.2999999999999998</v>
      </c>
      <c r="O40" s="10">
        <v>2.2999999999999998</v>
      </c>
    </row>
    <row r="41" spans="2:21" x14ac:dyDescent="0.25">
      <c r="M41" s="1" t="s">
        <v>150</v>
      </c>
      <c r="N41" s="10">
        <v>2.2999999999999998</v>
      </c>
      <c r="O41" s="10">
        <v>2.2999999999999998</v>
      </c>
    </row>
    <row r="42" spans="2:21" x14ac:dyDescent="0.25">
      <c r="E42" t="s">
        <v>293</v>
      </c>
      <c r="F42" t="s">
        <v>294</v>
      </c>
      <c r="G42" t="s">
        <v>295</v>
      </c>
      <c r="M42" s="1" t="s">
        <v>151</v>
      </c>
      <c r="N42" s="10">
        <v>2.2999999999999998</v>
      </c>
      <c r="O42" s="10">
        <v>2.2999999999999998</v>
      </c>
    </row>
    <row r="43" spans="2:21" x14ac:dyDescent="0.25">
      <c r="B43" s="1" t="s">
        <v>8</v>
      </c>
      <c r="C43" s="2">
        <f>Lähteandmed!D10</f>
        <v>11</v>
      </c>
      <c r="E43">
        <v>1</v>
      </c>
      <c r="F43">
        <v>3</v>
      </c>
      <c r="M43" s="1" t="s">
        <v>152</v>
      </c>
      <c r="N43" s="10">
        <v>2</v>
      </c>
      <c r="O43" s="10">
        <v>1</v>
      </c>
    </row>
    <row r="44" spans="2:21" x14ac:dyDescent="0.25">
      <c r="B44" s="1" t="s">
        <v>9</v>
      </c>
      <c r="C44" s="2">
        <f>Lähteandmed!D11</f>
        <v>38</v>
      </c>
      <c r="F44">
        <v>3</v>
      </c>
      <c r="G44">
        <v>1</v>
      </c>
      <c r="M44" s="1" t="s">
        <v>153</v>
      </c>
      <c r="N44" s="4">
        <v>3</v>
      </c>
      <c r="O44" s="4">
        <v>1</v>
      </c>
    </row>
    <row r="45" spans="2:21" x14ac:dyDescent="0.25">
      <c r="B45" s="1" t="s">
        <v>10</v>
      </c>
      <c r="C45" s="2">
        <f>Lähteandmed!D12</f>
        <v>11</v>
      </c>
      <c r="F45">
        <v>3</v>
      </c>
      <c r="G45">
        <v>1</v>
      </c>
      <c r="I45" s="38" t="s">
        <v>37</v>
      </c>
      <c r="J45" s="38"/>
      <c r="K45" s="38"/>
      <c r="M45" s="1" t="s">
        <v>154</v>
      </c>
      <c r="N45" s="4">
        <v>4</v>
      </c>
      <c r="O45" s="4">
        <v>1</v>
      </c>
    </row>
    <row r="46" spans="2:21" x14ac:dyDescent="0.25">
      <c r="B46" s="1" t="s">
        <v>11</v>
      </c>
      <c r="C46" s="2">
        <f>Lähteandmed!D13</f>
        <v>0</v>
      </c>
      <c r="E46">
        <v>1</v>
      </c>
      <c r="F46">
        <v>3</v>
      </c>
      <c r="I46" s="1" t="s">
        <v>40</v>
      </c>
      <c r="J46" s="4" t="s">
        <v>41</v>
      </c>
      <c r="K46" s="4" t="s">
        <v>42</v>
      </c>
      <c r="M46" s="1" t="s">
        <v>155</v>
      </c>
      <c r="N46" s="4">
        <v>5</v>
      </c>
      <c r="O46" s="4">
        <v>1</v>
      </c>
    </row>
    <row r="47" spans="2:21" x14ac:dyDescent="0.25">
      <c r="I47" s="1" t="s">
        <v>156</v>
      </c>
      <c r="J47" s="4">
        <v>5</v>
      </c>
      <c r="K47" s="4">
        <v>5</v>
      </c>
      <c r="M47" s="1" t="s">
        <v>157</v>
      </c>
      <c r="N47" s="4">
        <v>1</v>
      </c>
      <c r="O47" s="4">
        <v>1</v>
      </c>
    </row>
    <row r="48" spans="2:21" x14ac:dyDescent="0.25">
      <c r="B48" s="1" t="s">
        <v>158</v>
      </c>
      <c r="C48" s="4" t="s">
        <v>159</v>
      </c>
      <c r="D48" s="4" t="s">
        <v>160</v>
      </c>
      <c r="I48" s="1"/>
      <c r="J48" s="4"/>
      <c r="K48" s="4"/>
      <c r="M48" s="1" t="s">
        <v>161</v>
      </c>
      <c r="N48" s="4">
        <v>1</v>
      </c>
      <c r="O48" s="4">
        <v>1</v>
      </c>
    </row>
    <row r="49" spans="2:15" x14ac:dyDescent="0.25">
      <c r="B49" s="1" t="s">
        <v>162</v>
      </c>
      <c r="C49" s="4">
        <f>(($C$43*C33)+(($C$44*C34)+(($C$45*C35)+(C36*$C$46))))</f>
        <v>1413</v>
      </c>
      <c r="D49" s="4">
        <f>(($C$43*C37)+($C$44*C38)+($C$45*C39)+(C40*$C$46)+(E7*15))</f>
        <v>1473</v>
      </c>
      <c r="I49" s="1" t="s">
        <v>163</v>
      </c>
      <c r="J49" s="4">
        <v>5</v>
      </c>
      <c r="K49" s="4">
        <v>5</v>
      </c>
      <c r="M49" s="1" t="s">
        <v>164</v>
      </c>
      <c r="N49" s="4">
        <v>1</v>
      </c>
      <c r="O49" s="4">
        <v>1</v>
      </c>
    </row>
    <row r="50" spans="2:15" x14ac:dyDescent="0.25">
      <c r="B50" s="1" t="s">
        <v>165</v>
      </c>
      <c r="C50" s="4">
        <v>0</v>
      </c>
      <c r="D50" s="4">
        <f>D49</f>
        <v>1473</v>
      </c>
      <c r="I50" s="1"/>
      <c r="J50" s="4"/>
      <c r="K50" s="4"/>
      <c r="M50" s="1" t="s">
        <v>166</v>
      </c>
      <c r="N50" s="4">
        <v>1</v>
      </c>
      <c r="O50" s="4">
        <v>1</v>
      </c>
    </row>
    <row r="51" spans="2:15" x14ac:dyDescent="0.25">
      <c r="I51" s="1" t="s">
        <v>167</v>
      </c>
      <c r="J51" s="4">
        <v>5</v>
      </c>
      <c r="K51" s="4">
        <v>6</v>
      </c>
      <c r="M51" s="5" t="s">
        <v>168</v>
      </c>
      <c r="N51" s="4">
        <v>4</v>
      </c>
      <c r="O51" s="4">
        <v>4</v>
      </c>
    </row>
    <row r="52" spans="2:15" x14ac:dyDescent="0.25">
      <c r="B52" s="38" t="s">
        <v>169</v>
      </c>
      <c r="C52" s="38"/>
      <c r="D52" s="38"/>
      <c r="E52" s="38"/>
      <c r="I52" s="1"/>
      <c r="J52" s="4"/>
      <c r="K52" s="4"/>
      <c r="M52" s="5" t="s">
        <v>170</v>
      </c>
      <c r="N52" s="4">
        <v>2</v>
      </c>
      <c r="O52" s="4">
        <v>2</v>
      </c>
    </row>
    <row r="53" spans="2:15" ht="36" customHeight="1" x14ac:dyDescent="0.25">
      <c r="B53" s="13" t="s">
        <v>171</v>
      </c>
      <c r="C53" s="13" t="s">
        <v>77</v>
      </c>
      <c r="D53" s="14">
        <v>87.5</v>
      </c>
      <c r="E53" s="15" t="s">
        <v>172</v>
      </c>
      <c r="F53" t="s">
        <v>173</v>
      </c>
      <c r="I53" s="1" t="s">
        <v>174</v>
      </c>
      <c r="J53" s="4">
        <v>0</v>
      </c>
      <c r="K53" s="4">
        <v>5</v>
      </c>
      <c r="M53" s="5" t="s">
        <v>175</v>
      </c>
      <c r="N53" s="4">
        <v>2</v>
      </c>
      <c r="O53" s="4">
        <v>2</v>
      </c>
    </row>
    <row r="54" spans="2:15" ht="35.25" customHeight="1" x14ac:dyDescent="0.25">
      <c r="B54" s="13" t="s">
        <v>176</v>
      </c>
      <c r="C54" s="13" t="s">
        <v>77</v>
      </c>
      <c r="D54" s="14">
        <v>8.4</v>
      </c>
      <c r="E54" s="15" t="s">
        <v>177</v>
      </c>
      <c r="F54" t="s">
        <v>173</v>
      </c>
      <c r="I54" s="1"/>
      <c r="J54" s="4"/>
      <c r="K54" s="4"/>
    </row>
    <row r="57" spans="2:15" x14ac:dyDescent="0.25">
      <c r="B57" t="s">
        <v>178</v>
      </c>
    </row>
    <row r="58" spans="2:15" ht="20.25" customHeight="1" x14ac:dyDescent="0.25">
      <c r="B58" s="39" t="s">
        <v>312</v>
      </c>
      <c r="C58" s="40"/>
      <c r="D58" s="41"/>
      <c r="E58" s="1" t="s">
        <v>313</v>
      </c>
      <c r="I58" s="35" t="s">
        <v>179</v>
      </c>
      <c r="J58" s="36"/>
      <c r="K58" s="36"/>
      <c r="L58" s="37"/>
    </row>
    <row r="59" spans="2:15" ht="30" customHeight="1" x14ac:dyDescent="0.25">
      <c r="B59" s="1" t="s">
        <v>171</v>
      </c>
      <c r="C59" s="4" t="s">
        <v>77</v>
      </c>
      <c r="D59" s="20">
        <v>89.709110597164639</v>
      </c>
      <c r="E59" s="7" t="s">
        <v>314</v>
      </c>
      <c r="I59" s="1" t="s">
        <v>44</v>
      </c>
      <c r="J59" s="4" t="s">
        <v>41</v>
      </c>
      <c r="K59" s="4" t="s">
        <v>42</v>
      </c>
      <c r="L59" s="1" t="s">
        <v>14</v>
      </c>
    </row>
    <row r="60" spans="2:15" ht="46.5" customHeight="1" x14ac:dyDescent="0.25">
      <c r="B60" s="1" t="s">
        <v>176</v>
      </c>
      <c r="C60" s="4" t="s">
        <v>77</v>
      </c>
      <c r="D60" s="20">
        <v>185.51315789473685</v>
      </c>
      <c r="E60" s="7" t="s">
        <v>181</v>
      </c>
      <c r="I60" s="1" t="s">
        <v>182</v>
      </c>
      <c r="J60" s="4">
        <f>(J13*$C$43)+($C$44*J15)+($C$45*J17)+($E$7*J19)+(J47*C46)</f>
        <v>184</v>
      </c>
      <c r="K60" s="4">
        <f>(K13*$C$43)+($E$43*K14+($C$44*K15)+($E$44*K16)+($C$45*K17)+($E$45*K18)+(K47*$C$46)+(K48*$E$46)+(K19*Lähteandmed!$D$7))</f>
        <v>184</v>
      </c>
      <c r="L60" s="1" t="s">
        <v>50</v>
      </c>
    </row>
    <row r="61" spans="2:15" ht="42" customHeight="1" x14ac:dyDescent="0.25">
      <c r="B61" s="1" t="s">
        <v>176</v>
      </c>
      <c r="C61" s="4" t="s">
        <v>77</v>
      </c>
      <c r="D61" s="20">
        <v>53.421052631578945</v>
      </c>
      <c r="E61" s="7" t="s">
        <v>183</v>
      </c>
      <c r="I61" s="1" t="s">
        <v>184</v>
      </c>
      <c r="J61" s="4">
        <f>(J32*$C$43)+($E$43*J33+($C$44*J34)+($E$44*J35)+($C$45*J36)+($E$45*J37)+(J53*$C$46)+(J54*$E$46))</f>
        <v>0</v>
      </c>
      <c r="K61" s="4">
        <f>(K32*$C$43)+($E$43*K33+($C$44*K34)+($E$44*K35)+($C$45*K36)+($E$45*K37)+(K53*$C$46)+(K54*$E$46))</f>
        <v>120</v>
      </c>
      <c r="L61" s="1" t="s">
        <v>50</v>
      </c>
    </row>
    <row r="62" spans="2:15" ht="24.75" customHeight="1" x14ac:dyDescent="0.25">
      <c r="B62" s="1" t="s">
        <v>176</v>
      </c>
      <c r="C62" s="4" t="s">
        <v>77</v>
      </c>
      <c r="D62" s="20">
        <v>16.473684210526315</v>
      </c>
      <c r="E62" s="7" t="s">
        <v>185</v>
      </c>
      <c r="I62" s="1" t="s">
        <v>186</v>
      </c>
      <c r="J62" s="4">
        <f>(J20*$C$43)+($E$43*J21)+($C$44*J22)+($E$44*J23)+($C$45*J24)+($E$45*J25)+(J49*$C$46)+(J50*$E$46)+(J19*Lähteandmed!$D$7)</f>
        <v>184</v>
      </c>
      <c r="K62" s="4">
        <f>(K20*$C$43)+($E$43*K21)+($C$44*K22)+($E$44*K23)+($C$45*K24)+($E$45*K25)+(K49*$C$46)+(K50*$E$46)+(K19*Lähteandmed!$D$7)</f>
        <v>184</v>
      </c>
      <c r="L62" s="1" t="s">
        <v>50</v>
      </c>
    </row>
    <row r="63" spans="2:15" x14ac:dyDescent="0.25">
      <c r="I63" s="1" t="s">
        <v>187</v>
      </c>
      <c r="J63" s="4">
        <f>(J26*$C$43)+($E$43*J27+($C$44*J28)+($E$44*J29)+($C$45*J30)+($E$45*J31)+(J51*$C$46)+(J52*$E$46))</f>
        <v>180</v>
      </c>
      <c r="K63" s="4">
        <f>(K26*$C$43)+($E$43*K27+($C$44*K28)+($E$44*K29)+($C$45*K30)+($E$45*K31)+(K51*$C$46)+(K52*$E$46))</f>
        <v>180</v>
      </c>
      <c r="L63" s="1" t="s">
        <v>50</v>
      </c>
    </row>
    <row r="64" spans="2:15" x14ac:dyDescent="0.25">
      <c r="I64" s="1" t="s">
        <v>188</v>
      </c>
      <c r="J64" s="10">
        <f>D53*$E$6*$E$7</f>
        <v>1750</v>
      </c>
      <c r="K64" s="10">
        <f>D53*$E$6*$E$7</f>
        <v>1750</v>
      </c>
      <c r="L64" s="1" t="s">
        <v>77</v>
      </c>
    </row>
    <row r="65" spans="2:12" x14ac:dyDescent="0.25">
      <c r="B65" t="s">
        <v>178</v>
      </c>
      <c r="I65" s="1" t="s">
        <v>189</v>
      </c>
      <c r="J65" s="10">
        <f>D54*$E$6*$E$7</f>
        <v>168</v>
      </c>
      <c r="K65" s="10">
        <v>0</v>
      </c>
      <c r="L65" s="1" t="s">
        <v>77</v>
      </c>
    </row>
    <row r="66" spans="2:12" x14ac:dyDescent="0.25">
      <c r="B66" s="35" t="s">
        <v>311</v>
      </c>
      <c r="C66" s="36"/>
      <c r="D66" s="37"/>
      <c r="E66" s="1" t="s">
        <v>313</v>
      </c>
    </row>
    <row r="67" spans="2:12" ht="41.25" customHeight="1" x14ac:dyDescent="0.25">
      <c r="B67" s="1" t="s">
        <v>171</v>
      </c>
      <c r="C67" s="4" t="s">
        <v>77</v>
      </c>
      <c r="D67" s="20">
        <v>29.08401870666022</v>
      </c>
      <c r="E67" s="7" t="s">
        <v>180</v>
      </c>
      <c r="I67" s="35" t="s">
        <v>190</v>
      </c>
      <c r="J67" s="36"/>
      <c r="K67" s="36"/>
      <c r="L67" s="37"/>
    </row>
    <row r="68" spans="2:12" ht="33.75" customHeight="1" x14ac:dyDescent="0.25">
      <c r="B68" s="1" t="s">
        <v>176</v>
      </c>
      <c r="C68" s="4" t="s">
        <v>77</v>
      </c>
      <c r="D68" s="20">
        <v>83.25</v>
      </c>
      <c r="E68" s="7" t="s">
        <v>181</v>
      </c>
      <c r="I68" s="1" t="s">
        <v>44</v>
      </c>
      <c r="J68" s="4" t="s">
        <v>41</v>
      </c>
      <c r="K68" s="4" t="s">
        <v>42</v>
      </c>
      <c r="L68" s="1"/>
    </row>
    <row r="69" spans="2:12" ht="51" customHeight="1" x14ac:dyDescent="0.25">
      <c r="B69" s="1" t="s">
        <v>176</v>
      </c>
      <c r="C69" s="4" t="s">
        <v>77</v>
      </c>
      <c r="D69" s="20">
        <v>33.416666666666664</v>
      </c>
      <c r="E69" s="7" t="s">
        <v>183</v>
      </c>
      <c r="I69" s="1" t="s">
        <v>182</v>
      </c>
      <c r="J69" s="10">
        <f>J60*$G$23</f>
        <v>16560</v>
      </c>
      <c r="K69" s="10">
        <f>K60*$G$23</f>
        <v>16560</v>
      </c>
      <c r="L69" s="1" t="s">
        <v>64</v>
      </c>
    </row>
    <row r="70" spans="2:12" ht="23.25" customHeight="1" x14ac:dyDescent="0.25">
      <c r="B70" s="1" t="s">
        <v>176</v>
      </c>
      <c r="C70" s="4" t="s">
        <v>77</v>
      </c>
      <c r="D70" s="20">
        <v>0.91666666666666663</v>
      </c>
      <c r="E70" s="7" t="s">
        <v>185</v>
      </c>
      <c r="I70" s="1" t="s">
        <v>184</v>
      </c>
      <c r="J70" s="10">
        <f>J61*$G$21</f>
        <v>0</v>
      </c>
      <c r="K70" s="10">
        <f>K61*$G$21</f>
        <v>11067.6</v>
      </c>
      <c r="L70" s="1" t="s">
        <v>64</v>
      </c>
    </row>
    <row r="71" spans="2:12" x14ac:dyDescent="0.25">
      <c r="I71" s="1" t="s">
        <v>186</v>
      </c>
      <c r="J71" s="10">
        <f>J62*$G$18</f>
        <v>3808.7999999999997</v>
      </c>
      <c r="K71" s="10">
        <f>K62*$G$18</f>
        <v>3808.7999999999997</v>
      </c>
      <c r="L71" s="1" t="s">
        <v>64</v>
      </c>
    </row>
    <row r="72" spans="2:12" x14ac:dyDescent="0.25">
      <c r="B72" t="s">
        <v>2</v>
      </c>
      <c r="C72" t="s">
        <v>7</v>
      </c>
      <c r="I72" s="1" t="s">
        <v>187</v>
      </c>
      <c r="J72" s="10">
        <f>J63*$G$19</f>
        <v>1845</v>
      </c>
      <c r="K72" s="10">
        <f>K63*$G$19</f>
        <v>1845</v>
      </c>
      <c r="L72" s="1" t="s">
        <v>64</v>
      </c>
    </row>
    <row r="73" spans="2:12" x14ac:dyDescent="0.25">
      <c r="B73" t="s">
        <v>23</v>
      </c>
      <c r="C73" t="s">
        <v>24</v>
      </c>
      <c r="I73" s="1" t="s">
        <v>188</v>
      </c>
      <c r="J73" s="10">
        <f>J64*$G$30</f>
        <v>6125</v>
      </c>
      <c r="K73" s="10">
        <f>K64*$G$30</f>
        <v>6125</v>
      </c>
      <c r="L73" s="1" t="s">
        <v>64</v>
      </c>
    </row>
    <row r="74" spans="2:12" x14ac:dyDescent="0.25">
      <c r="B74" t="s">
        <v>27</v>
      </c>
      <c r="C74" t="s">
        <v>251</v>
      </c>
      <c r="I74" s="1" t="s">
        <v>189</v>
      </c>
      <c r="J74" s="10">
        <f>J65*$G$31</f>
        <v>1624.56</v>
      </c>
      <c r="K74" s="10">
        <f>K65*$G$31</f>
        <v>0</v>
      </c>
      <c r="L74" s="1" t="s">
        <v>64</v>
      </c>
    </row>
    <row r="75" spans="2:12" x14ac:dyDescent="0.25">
      <c r="B75" t="s">
        <v>239</v>
      </c>
      <c r="C75" t="s">
        <v>28</v>
      </c>
      <c r="I75" s="1" t="s">
        <v>303</v>
      </c>
      <c r="J75" s="10">
        <f>SUM(J69:J72)*0.9</f>
        <v>19992.419999999998</v>
      </c>
      <c r="K75" s="10">
        <f>SUM(K69:K72)*1.1</f>
        <v>36609.539999999994</v>
      </c>
      <c r="L75" s="1" t="s">
        <v>64</v>
      </c>
    </row>
    <row r="76" spans="2:12" x14ac:dyDescent="0.25">
      <c r="B76" t="s">
        <v>240</v>
      </c>
      <c r="C76" t="s">
        <v>252</v>
      </c>
      <c r="I76" s="1" t="s">
        <v>302</v>
      </c>
      <c r="J76" s="10">
        <f>SUM(J73:J74)*8.5</f>
        <v>65871.259999999995</v>
      </c>
      <c r="K76" s="10">
        <f>SUM(K73:K74)*8</f>
        <v>49000</v>
      </c>
      <c r="L76" s="1" t="s">
        <v>64</v>
      </c>
    </row>
    <row r="77" spans="2:12" x14ac:dyDescent="0.25">
      <c r="B77" t="s">
        <v>241</v>
      </c>
      <c r="C77" t="s">
        <v>32</v>
      </c>
      <c r="I77" s="1" t="s">
        <v>304</v>
      </c>
      <c r="J77" s="10">
        <f>J82*0.1</f>
        <v>11582.704</v>
      </c>
      <c r="K77" s="10">
        <f>J77*0.8</f>
        <v>9266.1632000000009</v>
      </c>
      <c r="L77" s="1" t="s">
        <v>64</v>
      </c>
    </row>
    <row r="78" spans="2:12" x14ac:dyDescent="0.25">
      <c r="B78" t="s">
        <v>242</v>
      </c>
      <c r="C78" t="s">
        <v>297</v>
      </c>
      <c r="I78" s="26" t="s">
        <v>305</v>
      </c>
      <c r="J78" s="27">
        <f>SUM(J69:J77)</f>
        <v>127409.74399999999</v>
      </c>
      <c r="K78" s="27">
        <f>SUM(K69:K77)</f>
        <v>134282.10319999998</v>
      </c>
      <c r="L78" s="1" t="s">
        <v>64</v>
      </c>
    </row>
    <row r="79" spans="2:12" x14ac:dyDescent="0.25">
      <c r="B79" t="s">
        <v>243</v>
      </c>
      <c r="C79" t="s">
        <v>253</v>
      </c>
    </row>
    <row r="80" spans="2:12" x14ac:dyDescent="0.25">
      <c r="B80" t="s">
        <v>244</v>
      </c>
      <c r="C80" t="s">
        <v>254</v>
      </c>
    </row>
    <row r="81" spans="2:12" x14ac:dyDescent="0.25">
      <c r="B81" t="s">
        <v>245</v>
      </c>
      <c r="C81" t="s">
        <v>255</v>
      </c>
    </row>
    <row r="82" spans="2:12" x14ac:dyDescent="0.25">
      <c r="B82" t="s">
        <v>246</v>
      </c>
      <c r="C82" t="s">
        <v>256</v>
      </c>
      <c r="I82" s="26" t="s">
        <v>305</v>
      </c>
      <c r="J82" s="27">
        <f>SUM(J69:J76)</f>
        <v>115827.04</v>
      </c>
      <c r="K82" s="27">
        <f>SUM(K69:K76)</f>
        <v>125015.93999999999</v>
      </c>
      <c r="L82" s="1" t="s">
        <v>64</v>
      </c>
    </row>
    <row r="83" spans="2:12" x14ac:dyDescent="0.25">
      <c r="B83" t="s">
        <v>247</v>
      </c>
      <c r="C83" t="s">
        <v>257</v>
      </c>
    </row>
    <row r="84" spans="2:12" x14ac:dyDescent="0.25">
      <c r="B84" t="s">
        <v>248</v>
      </c>
      <c r="C84" t="s">
        <v>258</v>
      </c>
    </row>
    <row r="85" spans="2:12" x14ac:dyDescent="0.25">
      <c r="B85" t="s">
        <v>249</v>
      </c>
      <c r="C85" t="s">
        <v>30</v>
      </c>
    </row>
    <row r="86" spans="2:12" x14ac:dyDescent="0.25">
      <c r="B86" t="s">
        <v>250</v>
      </c>
      <c r="C86" t="s">
        <v>259</v>
      </c>
    </row>
    <row r="88" spans="2:12" x14ac:dyDescent="0.25">
      <c r="D88" t="s">
        <v>293</v>
      </c>
      <c r="E88" t="s">
        <v>294</v>
      </c>
      <c r="F88" t="s">
        <v>295</v>
      </c>
      <c r="G88" t="s">
        <v>296</v>
      </c>
    </row>
    <row r="89" spans="2:12" x14ac:dyDescent="0.25">
      <c r="B89" s="5" t="s">
        <v>128</v>
      </c>
      <c r="C89" s="4">
        <v>16</v>
      </c>
      <c r="D89" s="6">
        <v>1</v>
      </c>
      <c r="E89" s="6"/>
      <c r="F89" s="6"/>
      <c r="G89" s="6"/>
    </row>
    <row r="90" spans="2:12" x14ac:dyDescent="0.25">
      <c r="B90" s="5" t="s">
        <v>131</v>
      </c>
      <c r="C90" s="4">
        <v>23</v>
      </c>
      <c r="D90" s="6">
        <v>1</v>
      </c>
      <c r="E90" s="6"/>
      <c r="F90" s="6"/>
      <c r="G90" s="6"/>
    </row>
    <row r="91" spans="2:12" x14ac:dyDescent="0.25">
      <c r="B91" s="5" t="s">
        <v>135</v>
      </c>
      <c r="C91" s="4">
        <v>33</v>
      </c>
      <c r="D91" s="6"/>
      <c r="E91" s="6"/>
      <c r="F91" s="6">
        <v>1</v>
      </c>
      <c r="G91" s="6"/>
    </row>
    <row r="92" spans="2:12" x14ac:dyDescent="0.25">
      <c r="B92" s="5" t="s">
        <v>138</v>
      </c>
      <c r="C92" s="4">
        <v>40</v>
      </c>
    </row>
    <row r="104" spans="3:7" x14ac:dyDescent="0.25">
      <c r="C104" s="43" t="s">
        <v>319</v>
      </c>
      <c r="D104" s="43"/>
      <c r="E104" s="43"/>
      <c r="F104" s="43"/>
      <c r="G104" s="43"/>
    </row>
    <row r="105" spans="3:7" ht="60" x14ac:dyDescent="0.25">
      <c r="C105" s="29" t="s">
        <v>320</v>
      </c>
      <c r="D105" s="29" t="s">
        <v>315</v>
      </c>
      <c r="E105" s="29" t="s">
        <v>316</v>
      </c>
      <c r="F105" s="29" t="s">
        <v>317</v>
      </c>
      <c r="G105" s="29" t="s">
        <v>318</v>
      </c>
    </row>
    <row r="106" spans="3:7" x14ac:dyDescent="0.25">
      <c r="C106" s="20" t="s">
        <v>310</v>
      </c>
      <c r="D106" s="20">
        <v>89.709110597164639</v>
      </c>
      <c r="E106" s="20">
        <v>185.51315789473685</v>
      </c>
      <c r="F106" s="20">
        <v>53.421052631578945</v>
      </c>
      <c r="G106" s="20">
        <v>16.473684210526315</v>
      </c>
    </row>
    <row r="107" spans="3:7" x14ac:dyDescent="0.25">
      <c r="C107" s="20" t="s">
        <v>42</v>
      </c>
      <c r="D107" s="20">
        <v>29.08401870666022</v>
      </c>
      <c r="E107" s="20">
        <v>83.25</v>
      </c>
      <c r="F107" s="20">
        <v>33.4166666666667</v>
      </c>
      <c r="G107" s="20">
        <v>0.91666666666666663</v>
      </c>
    </row>
    <row r="120" spans="3:6" ht="15.75" customHeight="1" x14ac:dyDescent="0.25">
      <c r="C120" s="42" t="s">
        <v>319</v>
      </c>
      <c r="D120" s="42"/>
      <c r="E120" s="42"/>
    </row>
    <row r="121" spans="3:6" ht="30" x14ac:dyDescent="0.25">
      <c r="C121" s="32" t="s">
        <v>320</v>
      </c>
      <c r="D121" s="31" t="s">
        <v>322</v>
      </c>
      <c r="E121" s="31" t="s">
        <v>323</v>
      </c>
      <c r="F121" s="30"/>
    </row>
    <row r="122" spans="3:6" ht="15.75" x14ac:dyDescent="0.25">
      <c r="C122" s="33" t="s">
        <v>310</v>
      </c>
      <c r="D122" s="33">
        <v>87.5</v>
      </c>
      <c r="E122" s="33">
        <v>8.4</v>
      </c>
      <c r="F122" s="30"/>
    </row>
    <row r="123" spans="3:6" ht="15.75" x14ac:dyDescent="0.25">
      <c r="C123" s="33" t="s">
        <v>42</v>
      </c>
      <c r="D123" s="33">
        <v>87.5</v>
      </c>
      <c r="E123" s="33">
        <v>0</v>
      </c>
      <c r="F123" s="30"/>
    </row>
  </sheetData>
  <mergeCells count="15">
    <mergeCell ref="C120:E120"/>
    <mergeCell ref="C104:G104"/>
    <mergeCell ref="B2:C2"/>
    <mergeCell ref="F2:G3"/>
    <mergeCell ref="B52:E52"/>
    <mergeCell ref="I67:L67"/>
    <mergeCell ref="B11:D11"/>
    <mergeCell ref="B66:D66"/>
    <mergeCell ref="B58:D58"/>
    <mergeCell ref="R11:U11"/>
    <mergeCell ref="R24:U24"/>
    <mergeCell ref="M11:O11"/>
    <mergeCell ref="I45:K45"/>
    <mergeCell ref="I58:L58"/>
    <mergeCell ref="I11:K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D89AE-7FDE-4437-81B1-394A070C2DDC}">
  <dimension ref="B2:Z29"/>
  <sheetViews>
    <sheetView zoomScale="70" zoomScaleNormal="70" workbookViewId="0">
      <selection activeCell="C33" sqref="C33"/>
    </sheetView>
  </sheetViews>
  <sheetFormatPr defaultRowHeight="15" x14ac:dyDescent="0.25"/>
  <cols>
    <col min="2" max="2" width="24.42578125" customWidth="1"/>
    <col min="6" max="6" width="15.7109375" customWidth="1"/>
    <col min="7" max="7" width="30.28515625" customWidth="1"/>
    <col min="8" max="8" width="25.42578125" customWidth="1"/>
    <col min="9" max="9" width="23.140625" customWidth="1"/>
    <col min="11" max="11" width="30.140625" customWidth="1"/>
    <col min="12" max="12" width="17.42578125" customWidth="1"/>
    <col min="13" max="13" width="13.42578125" customWidth="1"/>
    <col min="18" max="18" width="10.7109375" customWidth="1"/>
    <col min="19" max="19" width="12.42578125" customWidth="1"/>
    <col min="22" max="22" width="14.140625" customWidth="1"/>
    <col min="23" max="23" width="12" customWidth="1"/>
  </cols>
  <sheetData>
    <row r="2" spans="2:26" x14ac:dyDescent="0.25">
      <c r="B2" s="8" t="s">
        <v>191</v>
      </c>
      <c r="C2" s="1" t="s">
        <v>192</v>
      </c>
      <c r="G2" s="38" t="s">
        <v>193</v>
      </c>
      <c r="H2" s="38"/>
      <c r="I2" s="38"/>
      <c r="K2" s="1" t="s">
        <v>8</v>
      </c>
      <c r="L2" s="2">
        <f>Lähteandmed!D10</f>
        <v>11</v>
      </c>
      <c r="Q2" s="1" t="s">
        <v>194</v>
      </c>
      <c r="R2" s="1">
        <v>21</v>
      </c>
      <c r="S2" s="1"/>
      <c r="Y2" t="s">
        <v>7</v>
      </c>
      <c r="Z2">
        <v>21</v>
      </c>
    </row>
    <row r="3" spans="2:26" x14ac:dyDescent="0.25">
      <c r="B3" s="1" t="s">
        <v>43</v>
      </c>
      <c r="C3" s="5">
        <f>Lähteandmed!D10+Lähteandmed!F10</f>
        <v>11</v>
      </c>
      <c r="G3" s="1" t="s">
        <v>195</v>
      </c>
      <c r="H3" s="4" t="s">
        <v>41</v>
      </c>
      <c r="I3" s="4" t="s">
        <v>42</v>
      </c>
      <c r="K3" s="1" t="s">
        <v>9</v>
      </c>
      <c r="L3" s="2">
        <f>Lähteandmed!D11</f>
        <v>38</v>
      </c>
      <c r="Q3" s="1" t="s">
        <v>196</v>
      </c>
      <c r="R3" s="1">
        <v>10</v>
      </c>
      <c r="S3" s="1" t="s">
        <v>260</v>
      </c>
      <c r="Y3" t="s">
        <v>24</v>
      </c>
      <c r="Z3">
        <v>25</v>
      </c>
    </row>
    <row r="4" spans="2:26" x14ac:dyDescent="0.25">
      <c r="B4" s="1" t="s">
        <v>46</v>
      </c>
      <c r="C4" s="5">
        <f>Lähteandmed!D11+Lähteandmed!F11</f>
        <v>38</v>
      </c>
      <c r="G4" s="1" t="s">
        <v>197</v>
      </c>
      <c r="H4" s="10">
        <f>('Lah. kirj. andmed'!J13)*('Lah. kirj. andmed'!$G$23)+('Lah. kirj. andmed'!J20)*('Lah. kirj. andmed'!$G$18)+('Lah. kirj. andmed'!J26*'Lah. kirj. andmed'!$G$19)</f>
        <v>241.9</v>
      </c>
      <c r="I4" s="10">
        <f>('Lah. kirj. andmed'!K13)*('Lah. kirj. andmed'!$G$23)+('Lah. kirj. andmed'!K20)*('Lah. kirj. andmed'!$G$18)+('Lah. kirj. andmed'!K26*'Lah. kirj. andmed'!$G$19)+('Lah. kirj. andmed'!K32)*('Lah. kirj. andmed'!$G$20)</f>
        <v>334.13</v>
      </c>
      <c r="K4" s="1" t="s">
        <v>10</v>
      </c>
      <c r="L4" s="2">
        <f>Lähteandmed!D12</f>
        <v>11</v>
      </c>
      <c r="Q4" s="1" t="s">
        <v>196</v>
      </c>
      <c r="R4" s="1">
        <v>45</v>
      </c>
      <c r="S4" s="1" t="s">
        <v>261</v>
      </c>
      <c r="Y4" t="s">
        <v>251</v>
      </c>
      <c r="Z4">
        <v>24</v>
      </c>
    </row>
    <row r="5" spans="2:26" x14ac:dyDescent="0.25">
      <c r="B5" s="1" t="s">
        <v>52</v>
      </c>
      <c r="C5" s="5">
        <f>Lähteandmed!D12+Lähteandmed!F12</f>
        <v>11</v>
      </c>
      <c r="G5" s="1"/>
      <c r="H5" s="10"/>
      <c r="I5" s="10"/>
      <c r="K5" s="1" t="s">
        <v>11</v>
      </c>
      <c r="L5" s="2">
        <f>Lähteandmed!D13</f>
        <v>0</v>
      </c>
      <c r="Q5" s="1" t="s">
        <v>268</v>
      </c>
      <c r="R5" s="1">
        <f>'Lah. kirj. andmed'!C49</f>
        <v>1413</v>
      </c>
      <c r="S5" s="1"/>
      <c r="Y5" t="s">
        <v>28</v>
      </c>
      <c r="Z5">
        <v>22</v>
      </c>
    </row>
    <row r="6" spans="2:26" x14ac:dyDescent="0.25">
      <c r="B6" s="1" t="s">
        <v>56</v>
      </c>
      <c r="C6" s="5">
        <f>Lähteandmed!D13+Lähteandmed!F13</f>
        <v>0</v>
      </c>
      <c r="G6" s="1" t="s">
        <v>198</v>
      </c>
      <c r="H6" s="10">
        <f>('Lah. kirj. andmed'!J15)*('Lah. kirj. andmed'!$G$23)+('Lah. kirj. andmed'!J22)*('Lah. kirj. andmed'!$G$18)+('Lah. kirj. andmed'!J28*'Lah. kirj. andmed'!$G$19)</f>
        <v>362.85</v>
      </c>
      <c r="I6" s="10">
        <f>('Lah. kirj. andmed'!K15)*('Lah. kirj. andmed'!$G$23)+('Lah. kirj. andmed'!K22)*('Lah. kirj. andmed'!$G$18)+('Lah. kirj. andmed'!K28*'Lah. kirj. andmed'!$G$19)+('Lah. kirj. andmed'!K34)*('Lah. kirj. andmed'!$G$20)</f>
        <v>547.31000000000006</v>
      </c>
      <c r="K6" s="1" t="s">
        <v>262</v>
      </c>
      <c r="L6" s="2">
        <f>SUM(L2:L5)</f>
        <v>60</v>
      </c>
      <c r="Y6" t="s">
        <v>252</v>
      </c>
      <c r="Z6">
        <v>24</v>
      </c>
    </row>
    <row r="7" spans="2:26" x14ac:dyDescent="0.25">
      <c r="G7" s="1"/>
      <c r="H7" s="10"/>
      <c r="I7" s="10"/>
      <c r="Y7" t="s">
        <v>32</v>
      </c>
      <c r="Z7">
        <v>24</v>
      </c>
    </row>
    <row r="8" spans="2:26" x14ac:dyDescent="0.25">
      <c r="G8" s="1" t="s">
        <v>199</v>
      </c>
      <c r="H8" s="10">
        <f>('Lah. kirj. andmed'!J17)*('Lah. kirj. andmed'!$G$23)+('Lah. kirj. andmed'!J24)*('Lah. kirj. andmed'!$G$18)+('Lah. kirj. andmed'!J30*'Lah. kirj. andmed'!$G$19)</f>
        <v>483.8</v>
      </c>
      <c r="I8" s="10">
        <f>('Lah. kirj. andmed'!K17)*('Lah. kirj. andmed'!$G$23)+('Lah. kirj. andmed'!K24)*('Lah. kirj. andmed'!$G$18)+('Lah. kirj. andmed'!K30*'Lah. kirj. andmed'!$G$19)+('Lah. kirj. andmed'!K36)*('Lah. kirj. andmed'!$G$20)</f>
        <v>760.49</v>
      </c>
      <c r="P8" s="3" t="str">
        <f>Lähteandmed!D5</f>
        <v>B213</v>
      </c>
      <c r="T8" s="3" t="str">
        <f>Lähteandmed!D9</f>
        <v>Tallinn</v>
      </c>
      <c r="Y8" t="s">
        <v>297</v>
      </c>
      <c r="Z8">
        <v>25</v>
      </c>
    </row>
    <row r="9" spans="2:26" ht="30" x14ac:dyDescent="0.25">
      <c r="B9" s="8" t="s">
        <v>200</v>
      </c>
      <c r="C9" s="1" t="s">
        <v>36</v>
      </c>
      <c r="G9" s="1"/>
      <c r="H9" s="10"/>
      <c r="I9" s="10"/>
      <c r="Y9" t="s">
        <v>253</v>
      </c>
      <c r="Z9">
        <v>24</v>
      </c>
    </row>
    <row r="10" spans="2:26" x14ac:dyDescent="0.25">
      <c r="B10" s="1" t="s">
        <v>43</v>
      </c>
      <c r="C10" s="5">
        <f>C3*'Lah. kirj. andmed'!G12</f>
        <v>330</v>
      </c>
      <c r="G10" s="1" t="s">
        <v>201</v>
      </c>
      <c r="H10" s="10">
        <f>('Lah. kirj. andmed'!J47*'Lah. kirj. andmed'!$G$23)+('Lah. kirj. andmed'!J49*'Lah. kirj. andmed'!$G$18)+('Lah. kirj. andmed'!J51*'Lah. kirj. andmed'!$G$19)+('Lah. kirj. andmed'!J53*'Lah. kirj. andmed'!$G$21)</f>
        <v>604.75</v>
      </c>
      <c r="I10" s="10">
        <f>('Lah. kirj. andmed'!K47*'Lah. kirj. andmed'!$G$23)+('Lah. kirj. andmed'!K49*'Lah. kirj. andmed'!$G$18)+('Lah. kirj. andmed'!K51*'Lah. kirj. andmed'!$G$19)+('Lah. kirj. andmed'!K53*'Lah. kirj. andmed'!$G$21)</f>
        <v>1076.1500000000001</v>
      </c>
      <c r="L10" s="6" t="s">
        <v>2</v>
      </c>
      <c r="M10" s="6" t="s">
        <v>23</v>
      </c>
      <c r="N10" s="6" t="s">
        <v>27</v>
      </c>
      <c r="Q10" s="35" t="s">
        <v>266</v>
      </c>
      <c r="R10" s="36"/>
      <c r="S10" s="36"/>
      <c r="T10" s="36"/>
      <c r="U10" s="36"/>
      <c r="V10" s="36"/>
      <c r="W10" s="37"/>
      <c r="Y10" t="s">
        <v>254</v>
      </c>
      <c r="Z10">
        <v>25</v>
      </c>
    </row>
    <row r="11" spans="2:26" ht="30" x14ac:dyDescent="0.25">
      <c r="B11" s="1" t="s">
        <v>46</v>
      </c>
      <c r="C11" s="5">
        <f>C4*'Lah. kirj. andmed'!G13</f>
        <v>1694.8</v>
      </c>
      <c r="G11" s="1"/>
      <c r="H11" s="10"/>
      <c r="I11" s="10"/>
      <c r="K11" s="1" t="s">
        <v>202</v>
      </c>
      <c r="L11" s="16">
        <v>1.1000000000000001</v>
      </c>
      <c r="M11" s="17">
        <v>1</v>
      </c>
      <c r="N11" s="17">
        <v>1</v>
      </c>
      <c r="O11" s="4" t="s">
        <v>203</v>
      </c>
      <c r="Q11" s="8"/>
      <c r="R11" s="8" t="s">
        <v>265</v>
      </c>
      <c r="S11" s="8" t="s">
        <v>204</v>
      </c>
      <c r="T11" s="8"/>
      <c r="U11" s="8" t="s">
        <v>205</v>
      </c>
      <c r="V11" s="8" t="s">
        <v>264</v>
      </c>
      <c r="W11" s="8" t="s">
        <v>206</v>
      </c>
      <c r="Y11" t="s">
        <v>255</v>
      </c>
      <c r="Z11">
        <v>24</v>
      </c>
    </row>
    <row r="12" spans="2:26" x14ac:dyDescent="0.25">
      <c r="B12" s="1" t="s">
        <v>52</v>
      </c>
      <c r="C12" s="5">
        <f>C5*'Lah. kirj. andmed'!G14</f>
        <v>592.9</v>
      </c>
      <c r="K12" s="1" t="s">
        <v>207</v>
      </c>
      <c r="L12" s="16">
        <v>1.1000000000000001</v>
      </c>
      <c r="M12" s="17">
        <v>0.9</v>
      </c>
      <c r="N12" s="17">
        <v>0.9</v>
      </c>
      <c r="O12" s="4" t="s">
        <v>203</v>
      </c>
      <c r="Q12" s="8" t="s">
        <v>208</v>
      </c>
      <c r="R12" s="18">
        <f>IF($P$8=$L$10,L13,IF($P$8=$M$10,M13,IF($P$8=$N$10,N13)))</f>
        <v>0.7</v>
      </c>
      <c r="S12" s="21">
        <f>G28</f>
        <v>632.79999999999995</v>
      </c>
      <c r="T12" s="8"/>
      <c r="U12" s="8" cm="1">
        <f t="array" ref="U12">$R$2+_xlfn.IFS(T8=Y2,Z2,T8=Y3,Z3,T8=Y4,Z4,T8=Y5,Z5,T8=Y6,Z6,T8=Y7,Z7,T8=Y8,Z8,T8=Y9,Z9,T8=Y10,Z10,T8=Y11,Z11,T8=Y12,Z12,T8=Y13,Z13,T8=Y14,Z14,T8=Y15,Z15,T8=Y16,Z16)</f>
        <v>42</v>
      </c>
      <c r="V12" s="19">
        <f>$R$12*$S$12*$U$12</f>
        <v>18604.319999999996</v>
      </c>
      <c r="W12" s="12">
        <f>V12</f>
        <v>18604.319999999996</v>
      </c>
      <c r="Y12" t="s">
        <v>256</v>
      </c>
      <c r="Z12">
        <v>24</v>
      </c>
    </row>
    <row r="13" spans="2:26" x14ac:dyDescent="0.25">
      <c r="B13" s="5" t="s">
        <v>56</v>
      </c>
      <c r="C13" s="5">
        <f>C6*'Lah. kirj. andmed'!G15</f>
        <v>0</v>
      </c>
      <c r="F13" s="38" t="s">
        <v>190</v>
      </c>
      <c r="G13" s="38"/>
      <c r="H13" s="38"/>
      <c r="K13" s="1" t="s">
        <v>209</v>
      </c>
      <c r="L13" s="16">
        <v>0.7</v>
      </c>
      <c r="M13" s="17">
        <v>0.7</v>
      </c>
      <c r="N13" s="17">
        <v>0.7</v>
      </c>
      <c r="O13" s="4" t="s">
        <v>203</v>
      </c>
      <c r="Q13" s="8" t="s">
        <v>210</v>
      </c>
      <c r="R13" s="18">
        <f>IF($P$8=$L$10,L11,IF($P$8=$M$10,M11,IF($P$8=$N$10,N11)))</f>
        <v>1.1000000000000001</v>
      </c>
      <c r="S13" s="21">
        <f>((C23*2)+(C24*2))*C27-(G27*0.29)</f>
        <v>1586.0932000000003</v>
      </c>
      <c r="T13" s="8"/>
      <c r="U13" s="8">
        <f>$U$12</f>
        <v>42</v>
      </c>
      <c r="V13" s="19">
        <f t="shared" ref="V13:V15" si="0">R13*S13*U13</f>
        <v>73277.505840000027</v>
      </c>
      <c r="W13" s="12">
        <f>V13</f>
        <v>73277.505840000027</v>
      </c>
      <c r="Y13" t="s">
        <v>257</v>
      </c>
      <c r="Z13">
        <v>19</v>
      </c>
    </row>
    <row r="14" spans="2:26" x14ac:dyDescent="0.25">
      <c r="B14" s="5" t="s">
        <v>211</v>
      </c>
      <c r="C14" s="5">
        <f>SUM(C10:C13)</f>
        <v>2617.6999999999998</v>
      </c>
      <c r="F14" s="1" t="s">
        <v>195</v>
      </c>
      <c r="G14" s="4" t="s">
        <v>41</v>
      </c>
      <c r="H14" s="4" t="s">
        <v>42</v>
      </c>
      <c r="K14" s="1" t="s">
        <v>212</v>
      </c>
      <c r="L14" s="16">
        <v>0.7</v>
      </c>
      <c r="M14" s="17">
        <v>0.7</v>
      </c>
      <c r="N14" s="17">
        <v>0.7</v>
      </c>
      <c r="O14" s="4" t="s">
        <v>203</v>
      </c>
      <c r="Q14" s="8" t="s">
        <v>213</v>
      </c>
      <c r="R14" s="18">
        <f>IF($P$8=$L$10,L12,IF($P$8=$M$10,M12,IF($P$8=$N$10,N12)))</f>
        <v>1.1000000000000001</v>
      </c>
      <c r="S14" s="21">
        <f>S12</f>
        <v>632.79999999999995</v>
      </c>
      <c r="T14" s="8"/>
      <c r="U14" s="8">
        <f>$U$12</f>
        <v>42</v>
      </c>
      <c r="V14" s="19">
        <f t="shared" si="0"/>
        <v>29235.360000000001</v>
      </c>
      <c r="W14" s="12">
        <f>V14</f>
        <v>29235.360000000001</v>
      </c>
      <c r="Y14" t="s">
        <v>258</v>
      </c>
      <c r="Z14">
        <v>20</v>
      </c>
    </row>
    <row r="15" spans="2:26" x14ac:dyDescent="0.25">
      <c r="F15" s="1" t="s">
        <v>214</v>
      </c>
      <c r="G15" s="10">
        <f>(H4*$L$2)+(H5*$N$2)+(H6*$L$3)+(H7*$N$3)+(H8*$L$4)+(H9*$N$4)+(H10+$L$5)+(H11*$N$5)</f>
        <v>22375.75</v>
      </c>
      <c r="H15" s="10">
        <f>(I4*$L$2)+(I5*$N$2)+(I6*$L$3)+(I7*$N$3)+(I8*$L$4)+(I9*$N$4)+(I10+$L$5)+(I11*$N$5)</f>
        <v>33914.750000000007</v>
      </c>
      <c r="K15" s="1" t="s">
        <v>215</v>
      </c>
      <c r="L15" s="16">
        <f>L11</f>
        <v>1.1000000000000001</v>
      </c>
      <c r="M15" s="17">
        <v>1</v>
      </c>
      <c r="N15" s="17">
        <v>1</v>
      </c>
      <c r="O15" s="4" t="s">
        <v>203</v>
      </c>
      <c r="Q15" s="8" t="s">
        <v>216</v>
      </c>
      <c r="R15" s="18">
        <f>IF($P$8=$L$10,2.5)</f>
        <v>2.5</v>
      </c>
      <c r="S15" s="21">
        <f>G27*0.3</f>
        <v>493.476</v>
      </c>
      <c r="T15" s="8"/>
      <c r="U15" s="8">
        <f>$U$12</f>
        <v>42</v>
      </c>
      <c r="V15" s="19">
        <f t="shared" si="0"/>
        <v>51814.98</v>
      </c>
      <c r="W15" s="12">
        <f>V15</f>
        <v>51814.98</v>
      </c>
      <c r="Y15" t="s">
        <v>30</v>
      </c>
      <c r="Z15">
        <v>23</v>
      </c>
    </row>
    <row r="16" spans="2:26" x14ac:dyDescent="0.25">
      <c r="K16" s="1" t="s">
        <v>217</v>
      </c>
      <c r="L16" s="16">
        <v>2</v>
      </c>
      <c r="M16" s="17">
        <v>2</v>
      </c>
      <c r="N16" s="17">
        <v>2</v>
      </c>
      <c r="O16" s="4" t="s">
        <v>203</v>
      </c>
      <c r="Q16" s="8" t="s">
        <v>38</v>
      </c>
      <c r="R16" s="8">
        <v>5</v>
      </c>
      <c r="S16" s="8"/>
      <c r="T16" s="8"/>
      <c r="U16" s="8"/>
      <c r="V16" s="19">
        <f>$R$16*$G$28+R5*1.2*R3</f>
        <v>20120</v>
      </c>
      <c r="W16" s="19">
        <f>$R$16*$G$28+R5*1.2*R4</f>
        <v>79466</v>
      </c>
      <c r="Y16" t="s">
        <v>259</v>
      </c>
      <c r="Z16">
        <v>19</v>
      </c>
    </row>
    <row r="17" spans="2:23" x14ac:dyDescent="0.25">
      <c r="K17" s="1" t="s">
        <v>218</v>
      </c>
      <c r="L17" s="16">
        <v>2.9000000000000021</v>
      </c>
      <c r="M17" s="17">
        <v>2.9</v>
      </c>
      <c r="N17" s="17">
        <v>2.9</v>
      </c>
      <c r="O17" s="4" t="s">
        <v>203</v>
      </c>
      <c r="Q17" s="8" t="s">
        <v>219</v>
      </c>
      <c r="R17" s="8"/>
      <c r="S17" s="8"/>
      <c r="T17" s="8"/>
      <c r="U17" s="8"/>
      <c r="V17" s="19">
        <f>SUM(V12:V16)</f>
        <v>193052.16584000003</v>
      </c>
      <c r="W17" s="19">
        <f>SUM(W12:W16)</f>
        <v>252398.16584000003</v>
      </c>
    </row>
    <row r="19" spans="2:23" x14ac:dyDescent="0.25">
      <c r="K19" s="35" t="s">
        <v>41</v>
      </c>
      <c r="L19" s="36"/>
      <c r="M19" s="37"/>
      <c r="Q19" s="35" t="s">
        <v>267</v>
      </c>
      <c r="R19" s="36"/>
      <c r="S19" s="36"/>
      <c r="T19" s="36"/>
      <c r="U19" s="36"/>
      <c r="V19" s="36"/>
      <c r="W19" s="37"/>
    </row>
    <row r="20" spans="2:23" ht="45" x14ac:dyDescent="0.25">
      <c r="K20" s="1" t="s">
        <v>220</v>
      </c>
      <c r="L20" s="8" t="s">
        <v>269</v>
      </c>
      <c r="M20" s="8" t="s">
        <v>270</v>
      </c>
      <c r="Q20" s="8"/>
      <c r="R20" s="8" t="s">
        <v>265</v>
      </c>
      <c r="S20" s="8" t="s">
        <v>204</v>
      </c>
      <c r="T20" s="8"/>
      <c r="U20" s="8" t="s">
        <v>205</v>
      </c>
      <c r="V20" s="8" t="s">
        <v>264</v>
      </c>
      <c r="W20" s="8" t="s">
        <v>206</v>
      </c>
    </row>
    <row r="21" spans="2:23" x14ac:dyDescent="0.25">
      <c r="K21" s="1" t="s">
        <v>222</v>
      </c>
      <c r="L21" s="17">
        <f>V17/1000</f>
        <v>193.05216584000004</v>
      </c>
      <c r="M21" s="17">
        <f>V26/1000</f>
        <v>67.609656703999988</v>
      </c>
      <c r="Q21" s="8" t="s">
        <v>208</v>
      </c>
      <c r="R21" s="18">
        <f>Lähteandmed!D23</f>
        <v>0.1</v>
      </c>
      <c r="S21" s="19">
        <f>S12</f>
        <v>632.79999999999995</v>
      </c>
      <c r="T21" s="8"/>
      <c r="U21" s="8">
        <f>U12</f>
        <v>42</v>
      </c>
      <c r="V21" s="19">
        <f>$R$21*$S$21*$U$21</f>
        <v>2657.76</v>
      </c>
      <c r="W21" s="12">
        <f>V21</f>
        <v>2657.76</v>
      </c>
    </row>
    <row r="22" spans="2:23" x14ac:dyDescent="0.25">
      <c r="B22" s="1" t="s">
        <v>223</v>
      </c>
      <c r="C22" s="4" t="s">
        <v>13</v>
      </c>
      <c r="D22" s="4" t="s">
        <v>14</v>
      </c>
      <c r="F22" s="8" t="s">
        <v>224</v>
      </c>
      <c r="G22" s="4" t="s">
        <v>13</v>
      </c>
      <c r="H22" s="4" t="s">
        <v>14</v>
      </c>
      <c r="K22" s="1" t="s">
        <v>225</v>
      </c>
      <c r="L22" s="17">
        <v>0</v>
      </c>
      <c r="M22" s="17">
        <f>(1.2*1.005*R5*23)/1000</f>
        <v>39.19379399999999</v>
      </c>
      <c r="Q22" s="8" t="s">
        <v>210</v>
      </c>
      <c r="R22" s="18">
        <f>Lähteandmed!D21</f>
        <v>0.16</v>
      </c>
      <c r="S22" s="21">
        <f>S13</f>
        <v>1586.0932000000003</v>
      </c>
      <c r="T22" s="8"/>
      <c r="U22" s="8">
        <f>U13</f>
        <v>42</v>
      </c>
      <c r="V22" s="19">
        <f>R22*S22*U22</f>
        <v>10658.546304000003</v>
      </c>
      <c r="W22" s="12">
        <f>V22</f>
        <v>10658.546304000003</v>
      </c>
    </row>
    <row r="23" spans="2:23" ht="30" x14ac:dyDescent="0.25">
      <c r="B23" s="1" t="s">
        <v>226</v>
      </c>
      <c r="C23" s="2">
        <f>Lähteandmed!D16</f>
        <v>57.5</v>
      </c>
      <c r="D23" s="4" t="s">
        <v>16</v>
      </c>
      <c r="F23" s="8" t="s">
        <v>227</v>
      </c>
      <c r="G23" s="10">
        <f>C23*C28</f>
        <v>678.5</v>
      </c>
      <c r="H23" s="1" t="s">
        <v>36</v>
      </c>
      <c r="K23" s="1" t="s">
        <v>228</v>
      </c>
      <c r="L23" s="17">
        <f>30+15*SQRT(2*L6)+0.2*L6</f>
        <v>206.31676725154983</v>
      </c>
      <c r="M23" s="17">
        <f>L23</f>
        <v>206.31676725154983</v>
      </c>
      <c r="Q23" s="8" t="s">
        <v>213</v>
      </c>
      <c r="R23" s="18">
        <f>Lähteandmed!D22</f>
        <v>0.35</v>
      </c>
      <c r="S23" s="19">
        <f>S14</f>
        <v>632.79999999999995</v>
      </c>
      <c r="T23" s="8"/>
      <c r="U23" s="8">
        <f>U14</f>
        <v>42</v>
      </c>
      <c r="V23" s="19">
        <f>R23*S23*U23</f>
        <v>9302.159999999998</v>
      </c>
      <c r="W23" s="12">
        <f>V23</f>
        <v>9302.159999999998</v>
      </c>
    </row>
    <row r="24" spans="2:23" ht="30" x14ac:dyDescent="0.25">
      <c r="B24" s="1" t="s">
        <v>229</v>
      </c>
      <c r="C24" s="2">
        <f>Lähteandmed!D17</f>
        <v>12.2</v>
      </c>
      <c r="D24" s="4" t="s">
        <v>16</v>
      </c>
      <c r="F24" s="8" t="s">
        <v>230</v>
      </c>
      <c r="G24" s="10">
        <f>C24*$C$28</f>
        <v>143.96</v>
      </c>
      <c r="H24" s="1" t="s">
        <v>36</v>
      </c>
      <c r="Q24" s="8" t="s">
        <v>216</v>
      </c>
      <c r="R24" s="18">
        <f>AVERAGE(Lähteandmed!D24,Lähteandmed!D25)</f>
        <v>1.2</v>
      </c>
      <c r="S24" s="21">
        <f>S15</f>
        <v>493.476</v>
      </c>
      <c r="T24" s="8"/>
      <c r="U24" s="8">
        <f>U15</f>
        <v>42</v>
      </c>
      <c r="V24" s="19">
        <f>R24*S24*U24</f>
        <v>24871.190399999999</v>
      </c>
      <c r="W24" s="12">
        <f>V24</f>
        <v>24871.190399999999</v>
      </c>
    </row>
    <row r="25" spans="2:23" ht="45" x14ac:dyDescent="0.25">
      <c r="B25" s="7" t="s">
        <v>231</v>
      </c>
      <c r="C25" s="4">
        <f>C23-1</f>
        <v>56.5</v>
      </c>
      <c r="D25" s="4" t="s">
        <v>16</v>
      </c>
      <c r="F25" s="8" t="s">
        <v>232</v>
      </c>
      <c r="G25" s="10">
        <f>$G$23*2</f>
        <v>1357</v>
      </c>
      <c r="H25" s="1" t="s">
        <v>36</v>
      </c>
      <c r="K25" s="38" t="s">
        <v>42</v>
      </c>
      <c r="L25" s="38"/>
      <c r="M25" s="38"/>
      <c r="Q25" s="8" t="s">
        <v>38</v>
      </c>
      <c r="R25" s="8">
        <v>5</v>
      </c>
      <c r="S25" s="8"/>
      <c r="T25" s="8"/>
      <c r="U25" s="8"/>
      <c r="V25" s="19">
        <f>$R$16*$G$28+R5*1.2*R3</f>
        <v>20120</v>
      </c>
      <c r="W25" s="19">
        <f>$R$16*$G$28+R5*1.2*R4</f>
        <v>79466</v>
      </c>
    </row>
    <row r="26" spans="2:23" ht="45" x14ac:dyDescent="0.25">
      <c r="B26" s="8" t="s">
        <v>233</v>
      </c>
      <c r="C26" s="4">
        <f>C24-1</f>
        <v>11.2</v>
      </c>
      <c r="D26" s="4" t="s">
        <v>16</v>
      </c>
      <c r="F26" s="8" t="s">
        <v>234</v>
      </c>
      <c r="G26" s="10">
        <f>$G$24*2</f>
        <v>287.92</v>
      </c>
      <c r="H26" s="1" t="s">
        <v>36</v>
      </c>
      <c r="K26" s="1" t="s">
        <v>220</v>
      </c>
      <c r="L26" s="8" t="s">
        <v>269</v>
      </c>
      <c r="M26" s="8" t="s">
        <v>270</v>
      </c>
      <c r="Q26" s="8" t="s">
        <v>219</v>
      </c>
      <c r="R26" s="8"/>
      <c r="S26" s="8"/>
      <c r="T26" s="8"/>
      <c r="U26" s="8"/>
      <c r="V26" s="19">
        <f>SUM(V21:V25)</f>
        <v>67609.656703999994</v>
      </c>
      <c r="W26" s="19">
        <f>SUM(W21:W25)</f>
        <v>126955.65670399999</v>
      </c>
    </row>
    <row r="27" spans="2:23" x14ac:dyDescent="0.25">
      <c r="B27" s="1" t="s">
        <v>18</v>
      </c>
      <c r="C27" s="2">
        <f>Lähteandmed!D18</f>
        <v>14.8</v>
      </c>
      <c r="D27" s="4" t="s">
        <v>16</v>
      </c>
      <c r="F27" s="8" t="s">
        <v>235</v>
      </c>
      <c r="G27" s="10">
        <f>SUM(G25:G26)</f>
        <v>1644.92</v>
      </c>
      <c r="H27" s="1" t="s">
        <v>36</v>
      </c>
      <c r="K27" s="1" t="s">
        <v>222</v>
      </c>
      <c r="L27" s="17">
        <f>W17/1000</f>
        <v>252.39816584000002</v>
      </c>
      <c r="M27" s="17">
        <f>W26/1000</f>
        <v>126.95565670399999</v>
      </c>
    </row>
    <row r="28" spans="2:23" ht="30" x14ac:dyDescent="0.25">
      <c r="B28" s="8" t="s">
        <v>236</v>
      </c>
      <c r="C28" s="4">
        <f>C27-3</f>
        <v>11.8</v>
      </c>
      <c r="D28" s="4" t="s">
        <v>16</v>
      </c>
      <c r="F28" s="8" t="s">
        <v>237</v>
      </c>
      <c r="G28" s="10">
        <f>$C$25*$C$26</f>
        <v>632.79999999999995</v>
      </c>
      <c r="H28" s="1" t="s">
        <v>36</v>
      </c>
      <c r="K28" s="1" t="s">
        <v>225</v>
      </c>
      <c r="L28" s="17">
        <v>0</v>
      </c>
      <c r="M28" s="17">
        <v>0</v>
      </c>
    </row>
    <row r="29" spans="2:23" x14ac:dyDescent="0.25">
      <c r="K29" s="1" t="s">
        <v>228</v>
      </c>
      <c r="L29" s="17">
        <f>$L$23</f>
        <v>206.31676725154983</v>
      </c>
      <c r="M29" s="17">
        <f>L29</f>
        <v>206.31676725154983</v>
      </c>
    </row>
  </sheetData>
  <mergeCells count="6">
    <mergeCell ref="K25:M25"/>
    <mergeCell ref="G2:I2"/>
    <mergeCell ref="F13:H13"/>
    <mergeCell ref="Q10:W10"/>
    <mergeCell ref="Q19:W19"/>
    <mergeCell ref="K19:M19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4A963-62D5-4488-AC50-7AE613E63F34}">
  <dimension ref="D3:N56"/>
  <sheetViews>
    <sheetView zoomScale="70" zoomScaleNormal="70" workbookViewId="0">
      <selection activeCell="G31" sqref="G31"/>
    </sheetView>
  </sheetViews>
  <sheetFormatPr defaultRowHeight="15" x14ac:dyDescent="0.25"/>
  <cols>
    <col min="4" max="4" width="23.5703125" customWidth="1"/>
    <col min="5" max="5" width="22.28515625" customWidth="1"/>
    <col min="6" max="6" width="19.28515625" customWidth="1"/>
    <col min="7" max="7" width="15.5703125" customWidth="1"/>
    <col min="8" max="8" width="18.7109375" customWidth="1"/>
    <col min="9" max="9" width="34.28515625" customWidth="1"/>
    <col min="10" max="10" width="18.5703125" customWidth="1"/>
    <col min="11" max="11" width="25.28515625" customWidth="1"/>
    <col min="12" max="12" width="9.85546875" customWidth="1"/>
  </cols>
  <sheetData>
    <row r="3" spans="4:14" x14ac:dyDescent="0.25">
      <c r="D3" s="35" t="s">
        <v>282</v>
      </c>
      <c r="E3" s="36"/>
      <c r="F3" s="36"/>
      <c r="G3" s="37"/>
      <c r="I3" s="35" t="s">
        <v>283</v>
      </c>
      <c r="J3" s="36"/>
      <c r="K3" s="36"/>
      <c r="L3" s="37"/>
      <c r="N3" t="s">
        <v>278</v>
      </c>
    </row>
    <row r="4" spans="4:14" x14ac:dyDescent="0.25">
      <c r="D4" s="1" t="s">
        <v>44</v>
      </c>
      <c r="E4" s="4" t="s">
        <v>41</v>
      </c>
      <c r="F4" s="1" t="s">
        <v>42</v>
      </c>
      <c r="G4" s="1" t="s">
        <v>14</v>
      </c>
      <c r="I4" s="1" t="s">
        <v>44</v>
      </c>
      <c r="J4" s="4" t="s">
        <v>41</v>
      </c>
      <c r="K4" s="1" t="s">
        <v>42</v>
      </c>
      <c r="L4" s="1" t="s">
        <v>14</v>
      </c>
    </row>
    <row r="5" spans="4:14" x14ac:dyDescent="0.25">
      <c r="D5" s="1" t="s">
        <v>182</v>
      </c>
      <c r="E5" s="4">
        <f>'Lah. kirj. andmed'!J60</f>
        <v>184</v>
      </c>
      <c r="F5" s="4">
        <f>'Lah. kirj. andmed'!K60</f>
        <v>184</v>
      </c>
      <c r="G5" s="1" t="s">
        <v>50</v>
      </c>
      <c r="I5" s="1" t="s">
        <v>49</v>
      </c>
      <c r="J5" s="10">
        <f>'Lah. kirj. andmed'!S13</f>
        <v>128</v>
      </c>
      <c r="K5" s="10">
        <f>'Lah. kirj. andmed'!T13</f>
        <v>128</v>
      </c>
      <c r="L5" s="1" t="s">
        <v>50</v>
      </c>
    </row>
    <row r="6" spans="4:14" x14ac:dyDescent="0.25">
      <c r="D6" s="1" t="s">
        <v>184</v>
      </c>
      <c r="E6" s="4">
        <f>'Lah. kirj. andmed'!J61</f>
        <v>0</v>
      </c>
      <c r="F6" s="4">
        <f>'Lah. kirj. andmed'!K61</f>
        <v>120</v>
      </c>
      <c r="G6" s="1" t="s">
        <v>50</v>
      </c>
      <c r="I6" s="1" t="s">
        <v>54</v>
      </c>
      <c r="J6" s="10">
        <f>'Lah. kirj. andmed'!S14</f>
        <v>125</v>
      </c>
      <c r="K6" s="10">
        <f>'Lah. kirj. andmed'!T14</f>
        <v>0</v>
      </c>
      <c r="L6" s="1" t="s">
        <v>50</v>
      </c>
    </row>
    <row r="7" spans="4:14" x14ac:dyDescent="0.25">
      <c r="D7" s="1" t="s">
        <v>186</v>
      </c>
      <c r="E7" s="4">
        <f>'Lah. kirj. andmed'!J62</f>
        <v>184</v>
      </c>
      <c r="F7" s="4">
        <f>'Lah. kirj. andmed'!K62</f>
        <v>184</v>
      </c>
      <c r="G7" s="1" t="s">
        <v>50</v>
      </c>
      <c r="I7" s="1" t="s">
        <v>59</v>
      </c>
      <c r="J7" s="10">
        <f>'Lah. kirj. andmed'!S15</f>
        <v>180.10000000000002</v>
      </c>
      <c r="K7" s="10">
        <f>'Lah. kirj. andmed'!T15</f>
        <v>142.6</v>
      </c>
      <c r="L7" s="1" t="s">
        <v>50</v>
      </c>
    </row>
    <row r="8" spans="4:14" x14ac:dyDescent="0.25">
      <c r="D8" s="1" t="s">
        <v>187</v>
      </c>
      <c r="E8" s="4">
        <f>'Lah. kirj. andmed'!J63</f>
        <v>180</v>
      </c>
      <c r="F8" s="4">
        <f>'Lah. kirj. andmed'!K63</f>
        <v>180</v>
      </c>
      <c r="G8" s="1" t="s">
        <v>50</v>
      </c>
      <c r="I8" s="1" t="s">
        <v>61</v>
      </c>
      <c r="J8" s="10">
        <f>'Lah. kirj. andmed'!S16</f>
        <v>187</v>
      </c>
      <c r="K8" s="10">
        <f>'Lah. kirj. andmed'!T16</f>
        <v>62</v>
      </c>
      <c r="L8" s="1" t="s">
        <v>50</v>
      </c>
    </row>
    <row r="9" spans="4:14" x14ac:dyDescent="0.25">
      <c r="D9" s="1" t="s">
        <v>188</v>
      </c>
      <c r="E9" s="4">
        <f>'Lah. kirj. andmed'!J64</f>
        <v>1750</v>
      </c>
      <c r="F9" s="4">
        <f>'Lah. kirj. andmed'!K64</f>
        <v>1750</v>
      </c>
      <c r="G9" s="1" t="s">
        <v>77</v>
      </c>
      <c r="I9" s="1" t="s">
        <v>67</v>
      </c>
      <c r="J9" s="10">
        <f>'Lah. kirj. andmed'!S17</f>
        <v>62</v>
      </c>
      <c r="K9" s="10">
        <f>'Lah. kirj. andmed'!T17</f>
        <v>62</v>
      </c>
      <c r="L9" s="1" t="s">
        <v>50</v>
      </c>
    </row>
    <row r="10" spans="4:14" x14ac:dyDescent="0.25">
      <c r="D10" s="1" t="s">
        <v>189</v>
      </c>
      <c r="E10" s="4">
        <f>'Lah. kirj. andmed'!J65</f>
        <v>168</v>
      </c>
      <c r="F10" s="4">
        <f>'Lah. kirj. andmed'!K65</f>
        <v>0</v>
      </c>
      <c r="G10" s="1" t="s">
        <v>77</v>
      </c>
      <c r="I10" s="1" t="s">
        <v>71</v>
      </c>
      <c r="J10" s="10">
        <f>'Lah. kirj. andmed'!S18</f>
        <v>24</v>
      </c>
      <c r="K10" s="10">
        <f>'Lah. kirj. andmed'!T18</f>
        <v>24</v>
      </c>
      <c r="L10" s="1" t="s">
        <v>50</v>
      </c>
    </row>
    <row r="11" spans="4:14" x14ac:dyDescent="0.25">
      <c r="I11" s="1" t="s">
        <v>76</v>
      </c>
      <c r="J11" s="10">
        <f>'Lah. kirj. andmed'!S19</f>
        <v>1794.1822119432927</v>
      </c>
      <c r="K11" s="10">
        <f>'Lah. kirj. andmed'!T19</f>
        <v>581.6803741332044</v>
      </c>
      <c r="L11" s="1" t="s">
        <v>77</v>
      </c>
    </row>
    <row r="12" spans="4:14" x14ac:dyDescent="0.25">
      <c r="I12" s="1" t="s">
        <v>82</v>
      </c>
      <c r="J12" s="10">
        <f>'Lah. kirj. andmed'!S20</f>
        <v>742.0526315789474</v>
      </c>
      <c r="K12" s="10">
        <f>'Lah. kirj. andmed'!T20</f>
        <v>333</v>
      </c>
      <c r="L12" s="1" t="s">
        <v>77</v>
      </c>
    </row>
    <row r="13" spans="4:14" x14ac:dyDescent="0.25">
      <c r="I13" s="1" t="s">
        <v>86</v>
      </c>
      <c r="J13" s="10">
        <f>'Lah. kirj. andmed'!S21</f>
        <v>213.68421052631578</v>
      </c>
      <c r="K13" s="10">
        <f>'Lah. kirj. andmed'!T21</f>
        <v>133.66666666666666</v>
      </c>
      <c r="L13" s="1" t="s">
        <v>77</v>
      </c>
    </row>
    <row r="14" spans="4:14" x14ac:dyDescent="0.25">
      <c r="E14" s="6"/>
      <c r="I14" s="1" t="s">
        <v>91</v>
      </c>
      <c r="J14" s="10">
        <f>'Lah. kirj. andmed'!S22</f>
        <v>65.89473684210526</v>
      </c>
      <c r="K14" s="10">
        <f>'Lah. kirj. andmed'!T22</f>
        <v>3.6666666666666665</v>
      </c>
      <c r="L14" s="1" t="s">
        <v>77</v>
      </c>
    </row>
    <row r="17" spans="4:12" x14ac:dyDescent="0.25">
      <c r="I17" s="6"/>
    </row>
    <row r="18" spans="4:12" x14ac:dyDescent="0.25">
      <c r="D18" s="35" t="s">
        <v>284</v>
      </c>
      <c r="E18" s="36"/>
      <c r="F18" s="36"/>
      <c r="G18" s="37"/>
      <c r="I18" s="35" t="s">
        <v>291</v>
      </c>
      <c r="J18" s="36"/>
      <c r="K18" s="36"/>
      <c r="L18" s="37"/>
    </row>
    <row r="19" spans="4:12" x14ac:dyDescent="0.25">
      <c r="D19" s="1" t="s">
        <v>44</v>
      </c>
      <c r="E19" s="4" t="s">
        <v>41</v>
      </c>
      <c r="F19" s="1" t="s">
        <v>42</v>
      </c>
      <c r="G19" s="1" t="s">
        <v>14</v>
      </c>
      <c r="I19" s="1" t="s">
        <v>44</v>
      </c>
      <c r="J19" s="4" t="s">
        <v>41</v>
      </c>
      <c r="K19" s="1" t="s">
        <v>42</v>
      </c>
      <c r="L19" s="1" t="s">
        <v>14</v>
      </c>
    </row>
    <row r="20" spans="4:12" x14ac:dyDescent="0.25">
      <c r="D20" s="1" t="s">
        <v>182</v>
      </c>
      <c r="E20" s="10">
        <f>G44*$I$44</f>
        <v>7485.1200000000008</v>
      </c>
      <c r="F20" s="10">
        <f>H44*$I$44</f>
        <v>7485.1200000000008</v>
      </c>
      <c r="G20" s="1" t="s">
        <v>285</v>
      </c>
      <c r="I20" s="1" t="s">
        <v>49</v>
      </c>
      <c r="J20" s="10">
        <f>G45*I45</f>
        <v>90</v>
      </c>
      <c r="K20" s="10">
        <f>H45*I45</f>
        <v>92.160000000000011</v>
      </c>
      <c r="L20" s="1" t="s">
        <v>285</v>
      </c>
    </row>
    <row r="21" spans="4:12" x14ac:dyDescent="0.25">
      <c r="D21" s="1" t="s">
        <v>184</v>
      </c>
      <c r="E21" s="10">
        <f>G43*$I$43</f>
        <v>0</v>
      </c>
      <c r="F21" s="10">
        <f>H43*$I$43</f>
        <v>528</v>
      </c>
      <c r="G21" s="1" t="s">
        <v>285</v>
      </c>
      <c r="I21" s="1" t="s">
        <v>54</v>
      </c>
      <c r="J21" s="10">
        <f>G46*I46</f>
        <v>92.160000000000011</v>
      </c>
      <c r="K21" s="10">
        <f>H46*I46</f>
        <v>0</v>
      </c>
      <c r="L21" s="1" t="s">
        <v>285</v>
      </c>
    </row>
    <row r="22" spans="4:12" x14ac:dyDescent="0.25">
      <c r="D22" s="1" t="s">
        <v>186</v>
      </c>
      <c r="E22" s="10">
        <f>G41*$I$41</f>
        <v>74.446399999999997</v>
      </c>
      <c r="F22" s="10">
        <f>H41*$I$41</f>
        <v>74.446399999999997</v>
      </c>
      <c r="G22" s="1" t="s">
        <v>285</v>
      </c>
      <c r="I22" s="1" t="s">
        <v>59</v>
      </c>
      <c r="J22" s="10">
        <f>G52*I52</f>
        <v>1236.2064</v>
      </c>
      <c r="K22" s="10">
        <f>H52*I52</f>
        <v>978.80639999999994</v>
      </c>
      <c r="L22" s="1" t="s">
        <v>285</v>
      </c>
    </row>
    <row r="23" spans="4:12" x14ac:dyDescent="0.25">
      <c r="D23" s="1" t="s">
        <v>187</v>
      </c>
      <c r="E23" s="10">
        <f>G42*$I$42</f>
        <v>73.893600000000006</v>
      </c>
      <c r="F23" s="10">
        <f>H42*$I$42</f>
        <v>73.893600000000006</v>
      </c>
      <c r="G23" s="1" t="s">
        <v>285</v>
      </c>
      <c r="I23" s="1" t="s">
        <v>61</v>
      </c>
      <c r="J23" s="10">
        <f>G47*I47</f>
        <v>127.16</v>
      </c>
      <c r="K23" s="10">
        <f>H47*I47</f>
        <v>42.16</v>
      </c>
      <c r="L23" s="1" t="s">
        <v>285</v>
      </c>
    </row>
    <row r="24" spans="4:12" x14ac:dyDescent="0.25">
      <c r="D24" s="1" t="s">
        <v>188</v>
      </c>
      <c r="E24" s="10">
        <f>G50*$I$50</f>
        <v>1114.75</v>
      </c>
      <c r="F24" s="10">
        <f>H50*$I$50</f>
        <v>1114.75</v>
      </c>
      <c r="G24" s="1" t="s">
        <v>285</v>
      </c>
      <c r="I24" s="1" t="s">
        <v>67</v>
      </c>
      <c r="J24" s="10">
        <f>G48*I48</f>
        <v>64.48</v>
      </c>
      <c r="K24" s="10">
        <f>H48*I48</f>
        <v>64.48</v>
      </c>
      <c r="L24" s="1" t="s">
        <v>285</v>
      </c>
    </row>
    <row r="25" spans="4:12" x14ac:dyDescent="0.25">
      <c r="D25" s="1" t="s">
        <v>189</v>
      </c>
      <c r="E25" s="10">
        <f>G51*$I$51</f>
        <v>685.77599999999995</v>
      </c>
      <c r="F25" s="10">
        <f>F10</f>
        <v>0</v>
      </c>
      <c r="G25" s="1" t="s">
        <v>285</v>
      </c>
      <c r="I25" s="1" t="s">
        <v>71</v>
      </c>
      <c r="J25" s="10">
        <f>G49*I49</f>
        <v>29.568000000000005</v>
      </c>
      <c r="K25" s="10">
        <f>H49*I49</f>
        <v>29.568000000000005</v>
      </c>
      <c r="L25" s="1" t="s">
        <v>285</v>
      </c>
    </row>
    <row r="26" spans="4:12" x14ac:dyDescent="0.25">
      <c r="D26" s="1" t="s">
        <v>292</v>
      </c>
      <c r="E26" s="10">
        <f>SUM(E20:E25)</f>
        <v>9433.9860000000008</v>
      </c>
      <c r="F26" s="10">
        <f>SUM(F20:F25)</f>
        <v>9276.2100000000009</v>
      </c>
      <c r="G26" s="1" t="s">
        <v>285</v>
      </c>
      <c r="I26" s="1" t="s">
        <v>76</v>
      </c>
      <c r="J26" s="10">
        <f>G53*I53</f>
        <v>2622.5561391975107</v>
      </c>
      <c r="K26" s="10">
        <f>H53*I53</f>
        <v>850.2422028705048</v>
      </c>
      <c r="L26" s="1" t="s">
        <v>285</v>
      </c>
    </row>
    <row r="27" spans="4:12" x14ac:dyDescent="0.25">
      <c r="I27" s="1" t="s">
        <v>82</v>
      </c>
      <c r="J27" s="10">
        <f>G54*I54</f>
        <v>992.34698421052633</v>
      </c>
      <c r="K27" s="10">
        <f>H54*I54</f>
        <v>445.32089999999999</v>
      </c>
      <c r="L27" s="1" t="s">
        <v>285</v>
      </c>
    </row>
    <row r="28" spans="4:12" x14ac:dyDescent="0.25">
      <c r="I28" s="1" t="s">
        <v>86</v>
      </c>
      <c r="J28" s="10">
        <f>G55*I55</f>
        <v>2108.4221052631574</v>
      </c>
      <c r="K28" s="10">
        <f>H55*I55</f>
        <v>1318.8889999999999</v>
      </c>
      <c r="L28" s="1" t="s">
        <v>285</v>
      </c>
    </row>
    <row r="29" spans="4:12" x14ac:dyDescent="0.25">
      <c r="I29" s="1" t="s">
        <v>91</v>
      </c>
      <c r="J29" s="10">
        <f>G56*I56</f>
        <v>3109.5726315789475</v>
      </c>
      <c r="K29" s="10">
        <f>H56*I56</f>
        <v>173.02999999999997</v>
      </c>
      <c r="L29" s="1" t="s">
        <v>285</v>
      </c>
    </row>
    <row r="30" spans="4:12" x14ac:dyDescent="0.25">
      <c r="I30" s="1" t="s">
        <v>292</v>
      </c>
      <c r="J30" s="10">
        <f>SUM(J20:J29)</f>
        <v>10472.472260250142</v>
      </c>
      <c r="K30" s="10">
        <f>SUM(K20:K29)</f>
        <v>3994.6565028705045</v>
      </c>
      <c r="L30" s="1" t="s">
        <v>285</v>
      </c>
    </row>
    <row r="40" spans="4:9" ht="42.75" customHeight="1" x14ac:dyDescent="0.25">
      <c r="D40" s="23" t="s">
        <v>274</v>
      </c>
      <c r="E40" s="24" t="s">
        <v>275</v>
      </c>
      <c r="F40" s="23" t="s">
        <v>280</v>
      </c>
      <c r="G40" s="24" t="s">
        <v>324</v>
      </c>
      <c r="H40" s="24" t="s">
        <v>281</v>
      </c>
      <c r="I40" s="23" t="s">
        <v>276</v>
      </c>
    </row>
    <row r="41" spans="4:9" x14ac:dyDescent="0.25">
      <c r="D41" s="1" t="s">
        <v>186</v>
      </c>
      <c r="E41" s="4" t="s">
        <v>277</v>
      </c>
      <c r="F41" s="22">
        <v>0.23799999999999999</v>
      </c>
      <c r="G41" s="10">
        <f>E7*F41</f>
        <v>43.792000000000002</v>
      </c>
      <c r="H41" s="10">
        <f>F7*F41</f>
        <v>43.792000000000002</v>
      </c>
      <c r="I41" s="22">
        <v>1.7</v>
      </c>
    </row>
    <row r="42" spans="4:9" x14ac:dyDescent="0.25">
      <c r="D42" s="1" t="s">
        <v>187</v>
      </c>
      <c r="E42" s="4" t="s">
        <v>279</v>
      </c>
      <c r="F42" s="22">
        <v>0.13200000000000001</v>
      </c>
      <c r="G42" s="10">
        <f>E8*F42</f>
        <v>23.76</v>
      </c>
      <c r="H42" s="10">
        <f>F8*F42</f>
        <v>23.76</v>
      </c>
      <c r="I42" s="22">
        <v>3.11</v>
      </c>
    </row>
    <row r="43" spans="4:9" x14ac:dyDescent="0.25">
      <c r="D43" s="1" t="s">
        <v>184</v>
      </c>
      <c r="E43" s="4" t="s">
        <v>290</v>
      </c>
      <c r="F43" s="22">
        <v>2</v>
      </c>
      <c r="G43" s="10">
        <f>E6*F43</f>
        <v>0</v>
      </c>
      <c r="H43" s="10">
        <f>F6*F43</f>
        <v>240</v>
      </c>
      <c r="I43" s="22">
        <v>2.2000000000000002</v>
      </c>
    </row>
    <row r="44" spans="4:9" x14ac:dyDescent="0.25">
      <c r="D44" s="1" t="s">
        <v>182</v>
      </c>
      <c r="E44" s="17" t="s">
        <v>289</v>
      </c>
      <c r="F44" s="22">
        <v>22.6</v>
      </c>
      <c r="G44" s="10">
        <f>E5*F44</f>
        <v>4158.4000000000005</v>
      </c>
      <c r="H44" s="10">
        <f>F5*F44</f>
        <v>4158.4000000000005</v>
      </c>
      <c r="I44" s="22">
        <v>1.8</v>
      </c>
    </row>
    <row r="45" spans="4:9" x14ac:dyDescent="0.25">
      <c r="D45" s="1" t="s">
        <v>49</v>
      </c>
      <c r="E45" s="4" t="s">
        <v>290</v>
      </c>
      <c r="F45" s="22">
        <v>0.4</v>
      </c>
      <c r="G45" s="10">
        <f>J6*F45</f>
        <v>50</v>
      </c>
      <c r="H45" s="10">
        <f>K5*F45</f>
        <v>51.2</v>
      </c>
      <c r="I45" s="22">
        <v>1.8</v>
      </c>
    </row>
    <row r="46" spans="4:9" x14ac:dyDescent="0.25">
      <c r="D46" s="1" t="s">
        <v>54</v>
      </c>
      <c r="E46" s="4" t="s">
        <v>290</v>
      </c>
      <c r="F46" s="22">
        <v>0.4</v>
      </c>
      <c r="G46" s="10">
        <f>J5*F46</f>
        <v>51.2</v>
      </c>
      <c r="H46" s="10">
        <f>K6*F46</f>
        <v>0</v>
      </c>
      <c r="I46" s="22">
        <v>1.8</v>
      </c>
    </row>
    <row r="47" spans="4:9" x14ac:dyDescent="0.25">
      <c r="D47" s="1" t="s">
        <v>61</v>
      </c>
      <c r="E47" s="4" t="s">
        <v>277</v>
      </c>
      <c r="F47" s="22">
        <v>0.4</v>
      </c>
      <c r="G47" s="10">
        <f>J8*F47</f>
        <v>74.8</v>
      </c>
      <c r="H47" s="10">
        <f>K8*F47</f>
        <v>24.8</v>
      </c>
      <c r="I47" s="22">
        <v>1.7</v>
      </c>
    </row>
    <row r="48" spans="4:9" x14ac:dyDescent="0.25">
      <c r="D48" s="1" t="s">
        <v>67</v>
      </c>
      <c r="E48" s="17" t="s">
        <v>288</v>
      </c>
      <c r="F48" s="22">
        <v>0.8</v>
      </c>
      <c r="G48" s="10">
        <f>J9*F48</f>
        <v>49.6</v>
      </c>
      <c r="H48" s="10">
        <f>K9*F48</f>
        <v>49.6</v>
      </c>
      <c r="I48" s="22">
        <v>1.3</v>
      </c>
    </row>
    <row r="49" spans="4:9" x14ac:dyDescent="0.25">
      <c r="D49" s="1" t="s">
        <v>71</v>
      </c>
      <c r="E49" s="4" t="s">
        <v>290</v>
      </c>
      <c r="F49" s="22">
        <v>0.56000000000000005</v>
      </c>
      <c r="G49" s="10">
        <f>J10*F49</f>
        <v>13.440000000000001</v>
      </c>
      <c r="H49" s="10">
        <f>K10*F49</f>
        <v>13.440000000000001</v>
      </c>
      <c r="I49" s="22">
        <v>2.2000000000000002</v>
      </c>
    </row>
    <row r="50" spans="4:9" x14ac:dyDescent="0.25">
      <c r="D50" s="1" t="s">
        <v>188</v>
      </c>
      <c r="E50" s="4" t="s">
        <v>286</v>
      </c>
      <c r="F50" s="22">
        <v>0.49</v>
      </c>
      <c r="G50" s="10">
        <f>E9*F50</f>
        <v>857.5</v>
      </c>
      <c r="H50" s="10">
        <f>F9*F50</f>
        <v>857.5</v>
      </c>
      <c r="I50" s="22">
        <v>1.3</v>
      </c>
    </row>
    <row r="51" spans="4:9" x14ac:dyDescent="0.25">
      <c r="D51" s="1" t="s">
        <v>189</v>
      </c>
      <c r="E51" s="4" t="s">
        <v>287</v>
      </c>
      <c r="F51" s="22">
        <v>3.14</v>
      </c>
      <c r="G51" s="10">
        <f>E10*F51</f>
        <v>527.52</v>
      </c>
      <c r="H51" s="10">
        <f>F10*F51</f>
        <v>0</v>
      </c>
      <c r="I51" s="22">
        <v>1.3</v>
      </c>
    </row>
    <row r="52" spans="4:9" x14ac:dyDescent="0.25">
      <c r="D52" s="1" t="s">
        <v>59</v>
      </c>
      <c r="E52" s="4" t="s">
        <v>277</v>
      </c>
      <c r="F52" s="22">
        <v>1.6</v>
      </c>
      <c r="G52" s="10">
        <f>J7*F52</f>
        <v>288.16000000000003</v>
      </c>
      <c r="H52" s="10">
        <f>K7*F52</f>
        <v>228.16</v>
      </c>
      <c r="I52" s="22">
        <v>4.29</v>
      </c>
    </row>
    <row r="53" spans="4:9" x14ac:dyDescent="0.25">
      <c r="D53" s="1" t="s">
        <v>76</v>
      </c>
      <c r="E53" s="4" t="s">
        <v>279</v>
      </c>
      <c r="F53" s="22">
        <v>0.47</v>
      </c>
      <c r="G53" s="10">
        <f>J11*F53</f>
        <v>843.2656396133475</v>
      </c>
      <c r="H53" s="10">
        <f>K11*F53</f>
        <v>273.38977584260607</v>
      </c>
      <c r="I53" s="22">
        <v>3.11</v>
      </c>
    </row>
    <row r="54" spans="4:9" x14ac:dyDescent="0.25">
      <c r="D54" s="1" t="s">
        <v>82</v>
      </c>
      <c r="E54" s="4" t="s">
        <v>279</v>
      </c>
      <c r="F54" s="22">
        <v>0.43</v>
      </c>
      <c r="G54" s="10">
        <f>J12*F54</f>
        <v>319.08263157894737</v>
      </c>
      <c r="H54" s="10">
        <f>K12*F54</f>
        <v>143.19</v>
      </c>
      <c r="I54" s="22">
        <v>3.11</v>
      </c>
    </row>
    <row r="55" spans="4:9" x14ac:dyDescent="0.25">
      <c r="D55" s="1" t="s">
        <v>86</v>
      </c>
      <c r="E55" s="4" t="s">
        <v>277</v>
      </c>
      <c r="F55" s="22">
        <v>2.2999999999999998</v>
      </c>
      <c r="G55" s="10">
        <f>J13*F55</f>
        <v>491.47368421052624</v>
      </c>
      <c r="H55" s="10">
        <f>K13*F55</f>
        <v>307.43333333333328</v>
      </c>
      <c r="I55" s="22">
        <v>4.29</v>
      </c>
    </row>
    <row r="56" spans="4:9" x14ac:dyDescent="0.25">
      <c r="D56" s="1" t="s">
        <v>91</v>
      </c>
      <c r="E56" s="4" t="s">
        <v>277</v>
      </c>
      <c r="F56" s="22">
        <v>11</v>
      </c>
      <c r="G56" s="10">
        <f>J14*F56</f>
        <v>724.84210526315792</v>
      </c>
      <c r="H56" s="10">
        <f>K14*F56</f>
        <v>40.333333333333329</v>
      </c>
      <c r="I56" s="22">
        <v>4.29</v>
      </c>
    </row>
  </sheetData>
  <mergeCells count="4">
    <mergeCell ref="D3:G3"/>
    <mergeCell ref="I3:L3"/>
    <mergeCell ref="D18:G18"/>
    <mergeCell ref="I18:L18"/>
  </mergeCells>
  <pageMargins left="0.7" right="0.7" top="0.75" bottom="0.75" header="0.3" footer="0.3"/>
  <ignoredErrors>
    <ignoredError sqref="G46" formula="1"/>
  </ignoredErrors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A82A8-C54D-45B4-9488-6C6C3178AE0E}">
  <dimension ref="C3:P44"/>
  <sheetViews>
    <sheetView zoomScale="55" zoomScaleNormal="55" workbookViewId="0">
      <selection activeCell="E48" sqref="E48"/>
    </sheetView>
  </sheetViews>
  <sheetFormatPr defaultRowHeight="15" x14ac:dyDescent="0.25"/>
  <cols>
    <col min="3" max="3" width="22.42578125" customWidth="1"/>
    <col min="4" max="4" width="20.140625" customWidth="1"/>
    <col min="5" max="5" width="19.42578125" customWidth="1"/>
    <col min="6" max="6" width="9.140625" customWidth="1"/>
    <col min="8" max="8" width="22.140625" customWidth="1"/>
    <col min="9" max="9" width="20.140625" customWidth="1"/>
    <col min="10" max="10" width="24" customWidth="1"/>
    <col min="13" max="13" width="29.28515625" customWidth="1"/>
    <col min="14" max="14" width="16.7109375" customWidth="1"/>
    <col min="15" max="15" width="24.28515625" customWidth="1"/>
  </cols>
  <sheetData>
    <row r="3" spans="3:16" x14ac:dyDescent="0.25">
      <c r="C3" s="1" t="s">
        <v>158</v>
      </c>
      <c r="D3" s="4" t="s">
        <v>159</v>
      </c>
      <c r="E3" s="4" t="s">
        <v>160</v>
      </c>
      <c r="H3" s="35" t="s">
        <v>179</v>
      </c>
      <c r="I3" s="36"/>
      <c r="J3" s="36"/>
      <c r="K3" s="37"/>
      <c r="M3" s="35" t="s">
        <v>39</v>
      </c>
      <c r="N3" s="36"/>
      <c r="O3" s="36"/>
      <c r="P3" s="37"/>
    </row>
    <row r="4" spans="3:16" x14ac:dyDescent="0.25">
      <c r="C4" s="1" t="s">
        <v>162</v>
      </c>
      <c r="D4" s="4">
        <f>'Lah. kirj. andmed'!C49</f>
        <v>1413</v>
      </c>
      <c r="E4" s="4">
        <f>'Lah. kirj. andmed'!D49</f>
        <v>1473</v>
      </c>
      <c r="H4" s="1" t="s">
        <v>44</v>
      </c>
      <c r="I4" s="4" t="s">
        <v>41</v>
      </c>
      <c r="J4" s="1" t="s">
        <v>42</v>
      </c>
      <c r="K4" s="1" t="s">
        <v>14</v>
      </c>
      <c r="M4" s="1" t="s">
        <v>44</v>
      </c>
      <c r="N4" s="4" t="s">
        <v>41</v>
      </c>
      <c r="O4" s="1" t="s">
        <v>42</v>
      </c>
      <c r="P4" s="1" t="s">
        <v>14</v>
      </c>
    </row>
    <row r="5" spans="3:16" x14ac:dyDescent="0.25">
      <c r="C5" s="1" t="s">
        <v>165</v>
      </c>
      <c r="D5" s="4">
        <f>'Lah. kirj. andmed'!C50</f>
        <v>0</v>
      </c>
      <c r="E5" s="4">
        <f>'Lah. kirj. andmed'!D50</f>
        <v>1473</v>
      </c>
      <c r="H5" s="1" t="s">
        <v>182</v>
      </c>
      <c r="I5" s="4">
        <f>'Lah. kirj. andmed'!J60</f>
        <v>184</v>
      </c>
      <c r="J5" s="4">
        <f>'Lah. kirj. andmed'!K60</f>
        <v>184</v>
      </c>
      <c r="K5" s="1" t="s">
        <v>50</v>
      </c>
      <c r="M5" s="1" t="s">
        <v>49</v>
      </c>
      <c r="N5" s="4">
        <f>'Lah. kirj. andmed'!S13</f>
        <v>128</v>
      </c>
      <c r="O5" s="4">
        <f>'Lah. kirj. andmed'!T13</f>
        <v>128</v>
      </c>
      <c r="P5" s="1" t="s">
        <v>50</v>
      </c>
    </row>
    <row r="6" spans="3:16" x14ac:dyDescent="0.25">
      <c r="D6" s="6"/>
      <c r="E6" s="6"/>
      <c r="H6" s="1" t="s">
        <v>184</v>
      </c>
      <c r="I6" s="4">
        <f>'Lah. kirj. andmed'!J61</f>
        <v>0</v>
      </c>
      <c r="J6" s="4">
        <f>'Lah. kirj. andmed'!K61</f>
        <v>120</v>
      </c>
      <c r="K6" s="1" t="s">
        <v>50</v>
      </c>
      <c r="M6" s="1" t="s">
        <v>54</v>
      </c>
      <c r="N6" s="4">
        <f>'Lah. kirj. andmed'!S14</f>
        <v>125</v>
      </c>
      <c r="O6" s="4">
        <f>'Lah. kirj. andmed'!T14</f>
        <v>0</v>
      </c>
      <c r="P6" s="1" t="s">
        <v>50</v>
      </c>
    </row>
    <row r="7" spans="3:16" x14ac:dyDescent="0.25">
      <c r="C7" s="1" t="s">
        <v>238</v>
      </c>
      <c r="D7" s="4">
        <f>Arvutused!C14</f>
        <v>2617.6999999999998</v>
      </c>
      <c r="E7" s="4" t="s">
        <v>36</v>
      </c>
      <c r="H7" s="1" t="s">
        <v>186</v>
      </c>
      <c r="I7" s="4">
        <f>'Lah. kirj. andmed'!J62</f>
        <v>184</v>
      </c>
      <c r="J7" s="4">
        <f>'Lah. kirj. andmed'!K62</f>
        <v>184</v>
      </c>
      <c r="K7" s="1" t="s">
        <v>50</v>
      </c>
      <c r="M7" s="1" t="s">
        <v>59</v>
      </c>
      <c r="N7" s="10">
        <f>'Lah. kirj. andmed'!S15</f>
        <v>180.10000000000002</v>
      </c>
      <c r="O7" s="10">
        <f>'Lah. kirj. andmed'!T15</f>
        <v>142.6</v>
      </c>
      <c r="P7" s="1" t="s">
        <v>50</v>
      </c>
    </row>
    <row r="8" spans="3:16" x14ac:dyDescent="0.25">
      <c r="H8" s="1" t="s">
        <v>187</v>
      </c>
      <c r="I8" s="4">
        <f>'Lah. kirj. andmed'!J63</f>
        <v>180</v>
      </c>
      <c r="J8" s="4">
        <f>'Lah. kirj. andmed'!K63</f>
        <v>180</v>
      </c>
      <c r="K8" s="1" t="s">
        <v>50</v>
      </c>
      <c r="M8" s="1" t="s">
        <v>61</v>
      </c>
      <c r="N8" s="10">
        <f>'Lah. kirj. andmed'!S16</f>
        <v>187</v>
      </c>
      <c r="O8" s="10">
        <f>'Lah. kirj. andmed'!T16</f>
        <v>62</v>
      </c>
      <c r="P8" s="1" t="s">
        <v>50</v>
      </c>
    </row>
    <row r="9" spans="3:16" x14ac:dyDescent="0.25">
      <c r="H9" s="1" t="s">
        <v>188</v>
      </c>
      <c r="I9" s="10">
        <f>'Lah. kirj. andmed'!J64</f>
        <v>1750</v>
      </c>
      <c r="J9" s="10">
        <f>'Lah. kirj. andmed'!K64</f>
        <v>1750</v>
      </c>
      <c r="K9" s="1" t="s">
        <v>77</v>
      </c>
      <c r="M9" s="1" t="s">
        <v>67</v>
      </c>
      <c r="N9" s="10">
        <f>'Lah. kirj. andmed'!S17</f>
        <v>62</v>
      </c>
      <c r="O9" s="10">
        <f>'Lah. kirj. andmed'!T17</f>
        <v>62</v>
      </c>
      <c r="P9" s="1" t="s">
        <v>50</v>
      </c>
    </row>
    <row r="10" spans="3:16" x14ac:dyDescent="0.25">
      <c r="H10" s="1" t="s">
        <v>189</v>
      </c>
      <c r="I10" s="10">
        <f>'Lah. kirj. andmed'!J65</f>
        <v>168</v>
      </c>
      <c r="J10" s="10">
        <f>'Lah. kirj. andmed'!K65</f>
        <v>0</v>
      </c>
      <c r="K10" s="1" t="s">
        <v>77</v>
      </c>
      <c r="M10" s="1" t="s">
        <v>71</v>
      </c>
      <c r="N10" s="4">
        <f>'Lah. kirj. andmed'!S18</f>
        <v>24</v>
      </c>
      <c r="O10" s="4">
        <f>'Lah. kirj. andmed'!T18</f>
        <v>24</v>
      </c>
      <c r="P10" s="1" t="s">
        <v>50</v>
      </c>
    </row>
    <row r="11" spans="3:16" x14ac:dyDescent="0.25">
      <c r="M11" s="1" t="s">
        <v>76</v>
      </c>
      <c r="N11" s="10">
        <f>'Lah. kirj. andmed'!S19</f>
        <v>1794.1822119432927</v>
      </c>
      <c r="O11" s="10">
        <f>'Lah. kirj. andmed'!T19</f>
        <v>581.6803741332044</v>
      </c>
      <c r="P11" s="1" t="s">
        <v>77</v>
      </c>
    </row>
    <row r="12" spans="3:16" ht="33" customHeight="1" x14ac:dyDescent="0.25">
      <c r="C12" s="8" t="s">
        <v>271</v>
      </c>
      <c r="D12" s="8" t="s">
        <v>269</v>
      </c>
      <c r="E12" s="8" t="s">
        <v>270</v>
      </c>
      <c r="H12" s="38" t="s">
        <v>190</v>
      </c>
      <c r="I12" s="38"/>
      <c r="J12" s="38"/>
      <c r="K12" s="38"/>
      <c r="M12" s="1" t="s">
        <v>82</v>
      </c>
      <c r="N12" s="10">
        <f>'Lah. kirj. andmed'!S20</f>
        <v>742.0526315789474</v>
      </c>
      <c r="O12" s="10">
        <f>'Lah. kirj. andmed'!T20</f>
        <v>333</v>
      </c>
      <c r="P12" s="1" t="s">
        <v>77</v>
      </c>
    </row>
    <row r="13" spans="3:16" x14ac:dyDescent="0.25">
      <c r="C13" s="1" t="s">
        <v>162</v>
      </c>
      <c r="D13" s="17">
        <f>Arvutused!L21</f>
        <v>193.05216584000004</v>
      </c>
      <c r="E13" s="17">
        <f>Arvutused!M21</f>
        <v>67.609656703999988</v>
      </c>
      <c r="H13" s="1" t="s">
        <v>44</v>
      </c>
      <c r="I13" s="4" t="s">
        <v>41</v>
      </c>
      <c r="J13" s="1" t="s">
        <v>42</v>
      </c>
      <c r="K13" s="1" t="s">
        <v>14</v>
      </c>
      <c r="M13" s="1" t="s">
        <v>86</v>
      </c>
      <c r="N13" s="10">
        <f>'Lah. kirj. andmed'!S21</f>
        <v>213.68421052631578</v>
      </c>
      <c r="O13" s="10">
        <f>'Lah. kirj. andmed'!T21</f>
        <v>133.66666666666666</v>
      </c>
      <c r="P13" s="1" t="s">
        <v>77</v>
      </c>
    </row>
    <row r="14" spans="3:16" x14ac:dyDescent="0.25">
      <c r="C14" s="1" t="s">
        <v>165</v>
      </c>
      <c r="D14" s="17">
        <f>Arvutused!L27</f>
        <v>252.39816584000002</v>
      </c>
      <c r="E14" s="17">
        <f>Arvutused!M27</f>
        <v>126.95565670399999</v>
      </c>
      <c r="H14" s="1" t="s">
        <v>182</v>
      </c>
      <c r="I14" s="10">
        <f>'Lah. kirj. andmed'!J69</f>
        <v>16560</v>
      </c>
      <c r="J14" s="10">
        <f>'Lah. kirj. andmed'!K69</f>
        <v>16560</v>
      </c>
      <c r="K14" s="4" t="s">
        <v>64</v>
      </c>
      <c r="M14" s="1" t="s">
        <v>91</v>
      </c>
      <c r="N14" s="10">
        <f>'Lah. kirj. andmed'!S22</f>
        <v>65.89473684210526</v>
      </c>
      <c r="O14" s="10">
        <f>'Lah. kirj. andmed'!T22</f>
        <v>3.6666666666666665</v>
      </c>
      <c r="P14" s="1" t="s">
        <v>77</v>
      </c>
    </row>
    <row r="15" spans="3:16" x14ac:dyDescent="0.25">
      <c r="H15" s="1" t="s">
        <v>184</v>
      </c>
      <c r="I15" s="10">
        <f>'Lah. kirj. andmed'!J70</f>
        <v>0</v>
      </c>
      <c r="J15" s="10">
        <f>'Lah. kirj. andmed'!K70</f>
        <v>11067.6</v>
      </c>
      <c r="K15" s="4" t="s">
        <v>64</v>
      </c>
    </row>
    <row r="16" spans="3:16" x14ac:dyDescent="0.25">
      <c r="C16" s="35" t="s">
        <v>272</v>
      </c>
      <c r="D16" s="37"/>
      <c r="H16" s="1" t="s">
        <v>186</v>
      </c>
      <c r="I16" s="10">
        <f>'Lah. kirj. andmed'!J71</f>
        <v>3808.7999999999997</v>
      </c>
      <c r="J16" s="10">
        <f>'Lah. kirj. andmed'!K71</f>
        <v>3808.7999999999997</v>
      </c>
      <c r="K16" s="4" t="s">
        <v>64</v>
      </c>
      <c r="M16" s="35" t="s">
        <v>99</v>
      </c>
      <c r="N16" s="36"/>
      <c r="O16" s="36"/>
      <c r="P16" s="37"/>
    </row>
    <row r="17" spans="3:16" x14ac:dyDescent="0.25">
      <c r="C17" s="1" t="s">
        <v>220</v>
      </c>
      <c r="D17" s="4" t="s">
        <v>221</v>
      </c>
      <c r="H17" s="1" t="s">
        <v>187</v>
      </c>
      <c r="I17" s="10">
        <f>'Lah. kirj. andmed'!J72</f>
        <v>1845</v>
      </c>
      <c r="J17" s="10">
        <f>'Lah. kirj. andmed'!K72</f>
        <v>1845</v>
      </c>
      <c r="K17" s="4" t="s">
        <v>64</v>
      </c>
      <c r="M17" s="1" t="s">
        <v>44</v>
      </c>
      <c r="N17" s="4" t="s">
        <v>41</v>
      </c>
      <c r="O17" s="1" t="s">
        <v>42</v>
      </c>
      <c r="P17" s="1" t="s">
        <v>14</v>
      </c>
    </row>
    <row r="18" spans="3:16" x14ac:dyDescent="0.25">
      <c r="C18" s="1" t="s">
        <v>222</v>
      </c>
      <c r="D18" s="17">
        <f>E13</f>
        <v>67.609656703999988</v>
      </c>
      <c r="H18" s="1" t="s">
        <v>188</v>
      </c>
      <c r="I18" s="10">
        <f>'Lah. kirj. andmed'!J73</f>
        <v>6125</v>
      </c>
      <c r="J18" s="10">
        <f>'Lah. kirj. andmed'!K73</f>
        <v>6125</v>
      </c>
      <c r="K18" s="4" t="s">
        <v>64</v>
      </c>
      <c r="M18" s="1" t="s">
        <v>49</v>
      </c>
      <c r="N18" s="10">
        <f>'Lah. kirj. andmed'!S26</f>
        <v>1154.56</v>
      </c>
      <c r="O18" s="10">
        <f>'Lah. kirj. andmed'!T26</f>
        <v>1154.56</v>
      </c>
      <c r="P18" s="1" t="s">
        <v>64</v>
      </c>
    </row>
    <row r="19" spans="3:16" x14ac:dyDescent="0.25">
      <c r="C19" s="1" t="s">
        <v>225</v>
      </c>
      <c r="D19" s="17">
        <f>Arvutused!M22</f>
        <v>39.19379399999999</v>
      </c>
      <c r="H19" s="1" t="s">
        <v>189</v>
      </c>
      <c r="I19" s="10">
        <f>'Lah. kirj. andmed'!J74</f>
        <v>1624.56</v>
      </c>
      <c r="J19" s="10">
        <f>'Lah. kirj. andmed'!K74</f>
        <v>0</v>
      </c>
      <c r="K19" s="4" t="s">
        <v>64</v>
      </c>
      <c r="M19" s="1" t="s">
        <v>54</v>
      </c>
      <c r="N19" s="10">
        <f>'Lah. kirj. andmed'!S27</f>
        <v>1917.5</v>
      </c>
      <c r="O19" s="10">
        <f>'Lah. kirj. andmed'!T27</f>
        <v>0</v>
      </c>
      <c r="P19" s="1" t="s">
        <v>64</v>
      </c>
    </row>
    <row r="20" spans="3:16" x14ac:dyDescent="0.25">
      <c r="C20" s="1" t="s">
        <v>228</v>
      </c>
      <c r="D20" s="17">
        <f>Arvutused!L23</f>
        <v>206.31676725154983</v>
      </c>
      <c r="H20" s="1" t="s">
        <v>303</v>
      </c>
      <c r="I20" s="10">
        <f>'Lah. kirj. andmed'!J75</f>
        <v>19992.419999999998</v>
      </c>
      <c r="J20" s="10">
        <f>'Lah. kirj. andmed'!K75</f>
        <v>36609.539999999994</v>
      </c>
      <c r="K20" s="4" t="s">
        <v>64</v>
      </c>
      <c r="M20" s="1" t="s">
        <v>59</v>
      </c>
      <c r="N20" s="10">
        <f>'Lah. kirj. andmed'!S28</f>
        <v>954.53000000000009</v>
      </c>
      <c r="O20" s="10">
        <f>'Lah. kirj. andmed'!T28</f>
        <v>755.78</v>
      </c>
      <c r="P20" s="1" t="s">
        <v>64</v>
      </c>
    </row>
    <row r="21" spans="3:16" x14ac:dyDescent="0.25">
      <c r="H21" s="1" t="s">
        <v>302</v>
      </c>
      <c r="I21" s="10">
        <f>'Lah. kirj. andmed'!J76</f>
        <v>65871.259999999995</v>
      </c>
      <c r="J21" s="10">
        <f>'Lah. kirj. andmed'!K76</f>
        <v>49000</v>
      </c>
      <c r="K21" s="4" t="s">
        <v>64</v>
      </c>
      <c r="M21" s="1" t="s">
        <v>61</v>
      </c>
      <c r="N21" s="10">
        <f>'Lah. kirj. andmed'!S29</f>
        <v>8415</v>
      </c>
      <c r="O21" s="10">
        <f>'Lah. kirj. andmed'!T29</f>
        <v>2790</v>
      </c>
      <c r="P21" s="1" t="s">
        <v>64</v>
      </c>
    </row>
    <row r="22" spans="3:16" x14ac:dyDescent="0.25">
      <c r="C22" s="38" t="s">
        <v>273</v>
      </c>
      <c r="D22" s="38"/>
      <c r="H22" s="1" t="s">
        <v>304</v>
      </c>
      <c r="I22" s="10">
        <f>'Lah. kirj. andmed'!J77</f>
        <v>11582.704</v>
      </c>
      <c r="J22" s="10">
        <f>'Lah. kirj. andmed'!K77</f>
        <v>9266.1632000000009</v>
      </c>
      <c r="K22" s="4" t="s">
        <v>64</v>
      </c>
      <c r="M22" s="1" t="s">
        <v>67</v>
      </c>
      <c r="N22" s="10">
        <f>'Lah. kirj. andmed'!S30</f>
        <v>391.21999999999997</v>
      </c>
      <c r="O22" s="10">
        <f>'Lah. kirj. andmed'!T30</f>
        <v>391.21999999999997</v>
      </c>
      <c r="P22" s="1" t="s">
        <v>64</v>
      </c>
    </row>
    <row r="23" spans="3:16" x14ac:dyDescent="0.25">
      <c r="C23" s="1" t="s">
        <v>220</v>
      </c>
      <c r="D23" s="4" t="s">
        <v>221</v>
      </c>
      <c r="H23" s="26" t="s">
        <v>305</v>
      </c>
      <c r="I23" s="27">
        <f>SUM(I14:I22)</f>
        <v>127409.74399999999</v>
      </c>
      <c r="J23" s="27">
        <f>SUM(J14:J22)</f>
        <v>134282.10319999998</v>
      </c>
      <c r="K23" s="28" t="s">
        <v>64</v>
      </c>
      <c r="M23" s="1" t="s">
        <v>71</v>
      </c>
      <c r="N23" s="10">
        <f>'Lah. kirj. andmed'!S31</f>
        <v>912</v>
      </c>
      <c r="O23" s="10">
        <f>'Lah. kirj. andmed'!T31</f>
        <v>912</v>
      </c>
      <c r="P23" s="1" t="s">
        <v>64</v>
      </c>
    </row>
    <row r="24" spans="3:16" x14ac:dyDescent="0.25">
      <c r="C24" s="1" t="s">
        <v>222</v>
      </c>
      <c r="D24" s="17">
        <f>E14</f>
        <v>126.95565670399999</v>
      </c>
      <c r="M24" s="1" t="s">
        <v>76</v>
      </c>
      <c r="N24" s="10">
        <f>'Lah. kirj. andmed'!S32</f>
        <v>15447.908844831749</v>
      </c>
      <c r="O24" s="10">
        <f>'Lah. kirj. andmed'!T32</f>
        <v>5008.26802128689</v>
      </c>
      <c r="P24" s="1" t="s">
        <v>64</v>
      </c>
    </row>
    <row r="25" spans="3:16" x14ac:dyDescent="0.25">
      <c r="C25" s="1" t="s">
        <v>225</v>
      </c>
      <c r="D25" s="17">
        <v>0</v>
      </c>
      <c r="H25" s="35" t="s">
        <v>284</v>
      </c>
      <c r="I25" s="36"/>
      <c r="J25" s="36"/>
      <c r="K25" s="37"/>
      <c r="M25" s="1" t="s">
        <v>82</v>
      </c>
      <c r="N25" s="10">
        <f>'Lah. kirj. andmed'!S33</f>
        <v>4823.3421052631584</v>
      </c>
      <c r="O25" s="10">
        <f>'Lah. kirj. andmed'!T33</f>
        <v>2164.5</v>
      </c>
      <c r="P25" s="1" t="s">
        <v>64</v>
      </c>
    </row>
    <row r="26" spans="3:16" x14ac:dyDescent="0.25">
      <c r="C26" s="1" t="s">
        <v>228</v>
      </c>
      <c r="D26" s="17">
        <f>D20</f>
        <v>206.31676725154983</v>
      </c>
      <c r="H26" s="1" t="s">
        <v>44</v>
      </c>
      <c r="I26" s="4" t="s">
        <v>41</v>
      </c>
      <c r="J26" s="1" t="s">
        <v>42</v>
      </c>
      <c r="K26" s="1" t="s">
        <v>14</v>
      </c>
      <c r="M26" s="1" t="s">
        <v>86</v>
      </c>
      <c r="N26" s="10">
        <f>'Lah. kirj. andmed'!S34</f>
        <v>6410.5263157894733</v>
      </c>
      <c r="O26" s="10">
        <f>'Lah. kirj. andmed'!T34</f>
        <v>4009.9999999999995</v>
      </c>
      <c r="P26" s="1" t="s">
        <v>64</v>
      </c>
    </row>
    <row r="27" spans="3:16" x14ac:dyDescent="0.25">
      <c r="H27" s="1" t="s">
        <v>182</v>
      </c>
      <c r="I27" s="10">
        <f>'CO2'!$E$20</f>
        <v>7485.1200000000008</v>
      </c>
      <c r="J27" s="10">
        <f>'CO2'!$F$20</f>
        <v>7485.1200000000008</v>
      </c>
      <c r="K27" s="1" t="s">
        <v>285</v>
      </c>
      <c r="M27" s="1" t="s">
        <v>91</v>
      </c>
      <c r="N27" s="10">
        <f>'Lah. kirj. andmed'!S35</f>
        <v>6589.4736842105258</v>
      </c>
      <c r="O27" s="10">
        <f>'Lah. kirj. andmed'!T35</f>
        <v>366.66666666666663</v>
      </c>
      <c r="P27" s="1" t="s">
        <v>64</v>
      </c>
    </row>
    <row r="28" spans="3:16" x14ac:dyDescent="0.25">
      <c r="H28" s="1" t="s">
        <v>184</v>
      </c>
      <c r="I28" s="10">
        <f>'CO2'!$E$21</f>
        <v>0</v>
      </c>
      <c r="J28" s="10">
        <f>'CO2'!$F$21</f>
        <v>528</v>
      </c>
      <c r="K28" s="1" t="s">
        <v>285</v>
      </c>
      <c r="M28" s="1" t="s">
        <v>308</v>
      </c>
      <c r="N28" s="10">
        <f>'Lah. kirj. andmed'!S36</f>
        <v>17906.391999999996</v>
      </c>
      <c r="O28" s="10">
        <f>'Lah. kirj. andmed'!T36</f>
        <v>6559.7249999999995</v>
      </c>
      <c r="P28" s="1" t="s">
        <v>64</v>
      </c>
    </row>
    <row r="29" spans="3:16" ht="16.5" customHeight="1" x14ac:dyDescent="0.25">
      <c r="H29" s="1" t="s">
        <v>186</v>
      </c>
      <c r="I29" s="10">
        <f>'CO2'!$E$22</f>
        <v>74.446399999999997</v>
      </c>
      <c r="J29" s="10">
        <f>'CO2'!$F$22</f>
        <v>74.446399999999997</v>
      </c>
      <c r="K29" s="1" t="s">
        <v>285</v>
      </c>
      <c r="M29" s="1" t="s">
        <v>309</v>
      </c>
      <c r="N29" s="10">
        <f>'Lah. kirj. andmed'!S37</f>
        <v>147170.85808540811</v>
      </c>
      <c r="O29" s="10">
        <f>'Lah. kirj. andmed'!T37</f>
        <v>47990.337283018867</v>
      </c>
      <c r="P29" s="1" t="s">
        <v>64</v>
      </c>
    </row>
    <row r="30" spans="3:16" x14ac:dyDescent="0.25">
      <c r="H30" s="1" t="s">
        <v>187</v>
      </c>
      <c r="I30" s="10">
        <f>'CO2'!$E$23</f>
        <v>73.893600000000006</v>
      </c>
      <c r="J30" s="10">
        <f>'CO2'!$F$23</f>
        <v>73.893600000000006</v>
      </c>
      <c r="K30" s="1" t="s">
        <v>285</v>
      </c>
      <c r="M30" s="26" t="s">
        <v>305</v>
      </c>
      <c r="N30" s="27">
        <f>SUM(N18:N29)</f>
        <v>212093.31103550299</v>
      </c>
      <c r="O30" s="27">
        <f>SUM(O18:O29)</f>
        <v>72103.056970972422</v>
      </c>
      <c r="P30" s="26" t="s">
        <v>64</v>
      </c>
    </row>
    <row r="31" spans="3:16" x14ac:dyDescent="0.25">
      <c r="H31" s="1" t="s">
        <v>188</v>
      </c>
      <c r="I31" s="10">
        <f>'CO2'!$E$24</f>
        <v>1114.75</v>
      </c>
      <c r="J31" s="10">
        <f>'CO2'!$F$24</f>
        <v>1114.75</v>
      </c>
      <c r="K31" s="1" t="s">
        <v>285</v>
      </c>
    </row>
    <row r="32" spans="3:16" x14ac:dyDescent="0.25">
      <c r="H32" s="1" t="s">
        <v>189</v>
      </c>
      <c r="I32" s="10">
        <f>'CO2'!$E$25</f>
        <v>685.77599999999995</v>
      </c>
      <c r="J32" s="10">
        <f>'CO2'!$F$25</f>
        <v>0</v>
      </c>
      <c r="K32" s="1" t="s">
        <v>285</v>
      </c>
      <c r="M32" s="35" t="s">
        <v>291</v>
      </c>
      <c r="N32" s="36"/>
      <c r="O32" s="36"/>
      <c r="P32" s="37"/>
    </row>
    <row r="33" spans="8:16" x14ac:dyDescent="0.25">
      <c r="H33" s="26" t="s">
        <v>219</v>
      </c>
      <c r="I33" s="27">
        <f>SUM(I27:I32)</f>
        <v>9433.9860000000008</v>
      </c>
      <c r="J33" s="27">
        <f>SUM(J27:J32)</f>
        <v>9276.2100000000009</v>
      </c>
      <c r="K33" s="26" t="s">
        <v>285</v>
      </c>
      <c r="M33" s="1" t="s">
        <v>44</v>
      </c>
      <c r="N33" s="4" t="s">
        <v>41</v>
      </c>
      <c r="O33" s="1" t="s">
        <v>42</v>
      </c>
      <c r="P33" s="1" t="s">
        <v>14</v>
      </c>
    </row>
    <row r="34" spans="8:16" x14ac:dyDescent="0.25">
      <c r="M34" s="1" t="s">
        <v>49</v>
      </c>
      <c r="N34" s="10">
        <f>'CO2'!$J$20</f>
        <v>90</v>
      </c>
      <c r="O34" s="10">
        <f>'CO2'!$K$20</f>
        <v>92.160000000000011</v>
      </c>
      <c r="P34" s="1" t="s">
        <v>285</v>
      </c>
    </row>
    <row r="35" spans="8:16" x14ac:dyDescent="0.25">
      <c r="M35" s="1" t="s">
        <v>54</v>
      </c>
      <c r="N35" s="10">
        <f>'CO2'!$J$21</f>
        <v>92.160000000000011</v>
      </c>
      <c r="O35" s="10">
        <f>'CO2'!$K$21</f>
        <v>0</v>
      </c>
      <c r="P35" s="1" t="s">
        <v>285</v>
      </c>
    </row>
    <row r="36" spans="8:16" x14ac:dyDescent="0.25">
      <c r="M36" s="1" t="s">
        <v>59</v>
      </c>
      <c r="N36" s="10">
        <f>'CO2'!$J$22</f>
        <v>1236.2064</v>
      </c>
      <c r="O36" s="10">
        <f>'CO2'!$K$22</f>
        <v>978.80639999999994</v>
      </c>
      <c r="P36" s="1" t="s">
        <v>285</v>
      </c>
    </row>
    <row r="37" spans="8:16" x14ac:dyDescent="0.25">
      <c r="M37" s="1" t="s">
        <v>61</v>
      </c>
      <c r="N37" s="10">
        <f>'CO2'!$J$23</f>
        <v>127.16</v>
      </c>
      <c r="O37" s="10">
        <f>'CO2'!$K$23</f>
        <v>42.16</v>
      </c>
      <c r="P37" s="1" t="s">
        <v>285</v>
      </c>
    </row>
    <row r="38" spans="8:16" x14ac:dyDescent="0.25">
      <c r="M38" s="1" t="s">
        <v>67</v>
      </c>
      <c r="N38" s="10">
        <f>'CO2'!$J$24</f>
        <v>64.48</v>
      </c>
      <c r="O38" s="10">
        <f>'CO2'!$K$24</f>
        <v>64.48</v>
      </c>
      <c r="P38" s="1" t="s">
        <v>285</v>
      </c>
    </row>
    <row r="39" spans="8:16" x14ac:dyDescent="0.25">
      <c r="M39" s="1" t="s">
        <v>71</v>
      </c>
      <c r="N39" s="10">
        <f>'CO2'!$J$25</f>
        <v>29.568000000000005</v>
      </c>
      <c r="O39" s="10">
        <f>'CO2'!$K$25</f>
        <v>29.568000000000005</v>
      </c>
      <c r="P39" s="1" t="s">
        <v>285</v>
      </c>
    </row>
    <row r="40" spans="8:16" x14ac:dyDescent="0.25">
      <c r="M40" s="1" t="s">
        <v>76</v>
      </c>
      <c r="N40" s="10">
        <f>'CO2'!$J$26</f>
        <v>2622.5561391975107</v>
      </c>
      <c r="O40" s="10">
        <f>'CO2'!$K$26</f>
        <v>850.2422028705048</v>
      </c>
      <c r="P40" s="1" t="s">
        <v>285</v>
      </c>
    </row>
    <row r="41" spans="8:16" x14ac:dyDescent="0.25">
      <c r="M41" s="1" t="s">
        <v>82</v>
      </c>
      <c r="N41" s="10">
        <f>'CO2'!$J$27</f>
        <v>992.34698421052633</v>
      </c>
      <c r="O41" s="10">
        <f>'CO2'!$K$27</f>
        <v>445.32089999999999</v>
      </c>
      <c r="P41" s="1" t="s">
        <v>285</v>
      </c>
    </row>
    <row r="42" spans="8:16" x14ac:dyDescent="0.25">
      <c r="M42" s="1" t="s">
        <v>86</v>
      </c>
      <c r="N42" s="10">
        <f>'CO2'!$J$28</f>
        <v>2108.4221052631574</v>
      </c>
      <c r="O42" s="10">
        <f>'CO2'!$K$28</f>
        <v>1318.8889999999999</v>
      </c>
      <c r="P42" s="1" t="s">
        <v>285</v>
      </c>
    </row>
    <row r="43" spans="8:16" x14ac:dyDescent="0.25">
      <c r="M43" s="1" t="s">
        <v>91</v>
      </c>
      <c r="N43" s="10">
        <f>'CO2'!$J$29</f>
        <v>3109.5726315789475</v>
      </c>
      <c r="O43" s="10">
        <f>'CO2'!$K$29</f>
        <v>173.02999999999997</v>
      </c>
      <c r="P43" s="1" t="s">
        <v>285</v>
      </c>
    </row>
    <row r="44" spans="8:16" x14ac:dyDescent="0.25">
      <c r="M44" s="26" t="s">
        <v>219</v>
      </c>
      <c r="N44" s="27">
        <f>SUM(N34:N43)</f>
        <v>10472.472260250142</v>
      </c>
      <c r="O44" s="27">
        <f>SUM(O34:O43)</f>
        <v>3994.6565028705045</v>
      </c>
      <c r="P44" s="26" t="s">
        <v>285</v>
      </c>
    </row>
  </sheetData>
  <mergeCells count="8">
    <mergeCell ref="M32:P32"/>
    <mergeCell ref="C22:D22"/>
    <mergeCell ref="C16:D16"/>
    <mergeCell ref="M3:P3"/>
    <mergeCell ref="M16:P16"/>
    <mergeCell ref="H12:K12"/>
    <mergeCell ref="H3:K3"/>
    <mergeCell ref="H25:K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Lähteandmed</vt:lpstr>
      <vt:lpstr>Lah. kirj. andmed</vt:lpstr>
      <vt:lpstr>Arvutused</vt:lpstr>
      <vt:lpstr>CO2</vt:lpstr>
      <vt:lpstr>Tulemus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PC-017</dc:creator>
  <cp:keywords/>
  <dc:description/>
  <cp:lastModifiedBy>Sergei Ašmanov</cp:lastModifiedBy>
  <cp:revision/>
  <dcterms:created xsi:type="dcterms:W3CDTF">2015-06-05T18:17:20Z</dcterms:created>
  <dcterms:modified xsi:type="dcterms:W3CDTF">2024-05-22T19:33:53Z</dcterms:modified>
  <cp:category/>
  <cp:contentStatus/>
</cp:coreProperties>
</file>