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4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ttu.sharepoint.com/sites/Lputd37-TanelNiitmetslput/Shared Documents/Tanel Niitmets lõputöö/"/>
    </mc:Choice>
  </mc:AlternateContent>
  <xr:revisionPtr revIDLastSave="2697" documentId="8_{0F0FC1C5-CD08-49EB-94AF-F4FEE2E03D14}" xr6:coauthVersionLast="47" xr6:coauthVersionMax="47" xr10:uidLastSave="{A7C1AE6C-A309-4AD9-9893-2593E4753FDB}"/>
  <bookViews>
    <workbookView xWindow="-120" yWindow="-120" windowWidth="29040" windowHeight="15840" xr2:uid="{FB9D7A77-96A1-40E4-B7EC-176014B2D68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12" i="1" l="1"/>
  <c r="AA8" i="1"/>
  <c r="AA9" i="1"/>
  <c r="AA10" i="1"/>
  <c r="AA11" i="1"/>
  <c r="AA7" i="1"/>
  <c r="O30" i="1"/>
  <c r="S88" i="1"/>
  <c r="S82" i="1"/>
  <c r="S89" i="1"/>
  <c r="S87" i="1"/>
  <c r="S86" i="1"/>
  <c r="S84" i="1"/>
  <c r="S85" i="1"/>
  <c r="S83" i="1"/>
  <c r="S54" i="1"/>
  <c r="S26" i="1"/>
  <c r="S12" i="1"/>
  <c r="AV26" i="1"/>
  <c r="AV54" i="1"/>
  <c r="AV57" i="1"/>
  <c r="AV55" i="1"/>
  <c r="AV53" i="1"/>
  <c r="AV52" i="1"/>
  <c r="AV51" i="1"/>
  <c r="AV50" i="1"/>
  <c r="AL57" i="1"/>
  <c r="AL56" i="1"/>
  <c r="AL55" i="1"/>
  <c r="AL54" i="1"/>
  <c r="AL53" i="1"/>
  <c r="AL52" i="1"/>
  <c r="AL51" i="1"/>
  <c r="AL50" i="1"/>
  <c r="AV43" i="1"/>
  <c r="AV41" i="1"/>
  <c r="AL42" i="1"/>
  <c r="AL41" i="1"/>
  <c r="AL40" i="1"/>
  <c r="AL39" i="1"/>
  <c r="AL38" i="1"/>
  <c r="AL37" i="1"/>
  <c r="AL36" i="1"/>
  <c r="AV28" i="1"/>
  <c r="AV25" i="1"/>
  <c r="AV24" i="1"/>
  <c r="AV23" i="1"/>
  <c r="AV22" i="1"/>
  <c r="AL29" i="1"/>
  <c r="AL28" i="1"/>
  <c r="AL27" i="1"/>
  <c r="AL26" i="1"/>
  <c r="AL25" i="1"/>
  <c r="AL24" i="1"/>
  <c r="AL23" i="1"/>
  <c r="AL22" i="1"/>
  <c r="S57" i="1"/>
  <c r="S56" i="1"/>
  <c r="S55" i="1"/>
  <c r="S53" i="1"/>
  <c r="S52" i="1"/>
  <c r="S51" i="1"/>
  <c r="S50" i="1"/>
  <c r="I57" i="1"/>
  <c r="I56" i="1"/>
  <c r="I55" i="1"/>
  <c r="I54" i="1"/>
  <c r="I53" i="1"/>
  <c r="I52" i="1"/>
  <c r="I51" i="1"/>
  <c r="I50" i="1"/>
  <c r="S38" i="1"/>
  <c r="S37" i="1"/>
  <c r="S36" i="1"/>
  <c r="I43" i="1"/>
  <c r="I42" i="1"/>
  <c r="I41" i="1"/>
  <c r="I40" i="1"/>
  <c r="I39" i="1"/>
  <c r="I38" i="1"/>
  <c r="I37" i="1"/>
  <c r="I36" i="1"/>
  <c r="S29" i="1"/>
  <c r="S28" i="1"/>
  <c r="S27" i="1"/>
  <c r="S25" i="1"/>
  <c r="S24" i="1"/>
  <c r="S23" i="1"/>
  <c r="S22" i="1"/>
  <c r="I29" i="1"/>
  <c r="I28" i="1"/>
  <c r="I27" i="1"/>
  <c r="I26" i="1"/>
  <c r="I25" i="1"/>
  <c r="I24" i="1"/>
  <c r="I23" i="1"/>
  <c r="S69" i="1"/>
  <c r="S70" i="1"/>
  <c r="S71" i="1"/>
  <c r="S67" i="1"/>
  <c r="S66" i="1"/>
  <c r="S65" i="1"/>
  <c r="S64" i="1"/>
  <c r="I71" i="1"/>
  <c r="I70" i="1"/>
  <c r="I69" i="1"/>
  <c r="I68" i="1"/>
  <c r="I67" i="1"/>
  <c r="I66" i="1"/>
  <c r="I65" i="1"/>
  <c r="I64" i="1"/>
  <c r="S14" i="1"/>
  <c r="S15" i="1"/>
  <c r="S11" i="1"/>
  <c r="S9" i="1"/>
  <c r="S8" i="1"/>
  <c r="I15" i="1"/>
  <c r="I14" i="1"/>
  <c r="I13" i="1"/>
  <c r="I12" i="1"/>
  <c r="I11" i="1"/>
  <c r="I10" i="1"/>
  <c r="I9" i="1"/>
  <c r="I8" i="1"/>
  <c r="AL72" i="1"/>
  <c r="AG72" i="1"/>
  <c r="AP72" i="1"/>
  <c r="AQ72" i="1"/>
  <c r="AR72" i="1"/>
  <c r="AS72" i="1"/>
  <c r="AT72" i="1"/>
  <c r="AU72" i="1"/>
  <c r="AV72" i="1"/>
  <c r="AW72" i="1"/>
  <c r="AH72" i="1"/>
  <c r="AI72" i="1"/>
  <c r="AJ72" i="1"/>
  <c r="AK72" i="1"/>
  <c r="AM72" i="1"/>
  <c r="AV30" i="1"/>
  <c r="D36" i="1"/>
  <c r="D44" i="1" s="1"/>
  <c r="AQ58" i="1"/>
  <c r="AR58" i="1"/>
  <c r="AS58" i="1"/>
  <c r="AT58" i="1"/>
  <c r="AU58" i="1"/>
  <c r="AW58" i="1"/>
  <c r="AP58" i="1"/>
  <c r="AH58" i="1"/>
  <c r="AI58" i="1"/>
  <c r="AJ58" i="1"/>
  <c r="AK58" i="1"/>
  <c r="AM58" i="1"/>
  <c r="AG58" i="1"/>
  <c r="AQ44" i="1"/>
  <c r="AR44" i="1"/>
  <c r="AS44" i="1"/>
  <c r="AT44" i="1"/>
  <c r="AU44" i="1"/>
  <c r="AW44" i="1"/>
  <c r="AP44" i="1"/>
  <c r="AH44" i="1"/>
  <c r="AI44" i="1"/>
  <c r="AJ44" i="1"/>
  <c r="AK44" i="1"/>
  <c r="AM44" i="1"/>
  <c r="AG44" i="1"/>
  <c r="AQ30" i="1"/>
  <c r="AR30" i="1"/>
  <c r="AT30" i="1"/>
  <c r="AU30" i="1"/>
  <c r="AW30" i="1"/>
  <c r="AP30" i="1"/>
  <c r="AH30" i="1"/>
  <c r="AJ30" i="1"/>
  <c r="AK30" i="1"/>
  <c r="AM30" i="1"/>
  <c r="AG30" i="1"/>
  <c r="N72" i="1"/>
  <c r="Q72" i="1"/>
  <c r="R72" i="1"/>
  <c r="T72" i="1"/>
  <c r="M72" i="1"/>
  <c r="G72" i="1"/>
  <c r="H72" i="1"/>
  <c r="J72" i="1"/>
  <c r="E72" i="1"/>
  <c r="D72" i="1"/>
  <c r="T58" i="1"/>
  <c r="P58" i="1"/>
  <c r="O58" i="1"/>
  <c r="N58" i="1"/>
  <c r="M58" i="1"/>
  <c r="J58" i="1"/>
  <c r="F58" i="1"/>
  <c r="E58" i="1"/>
  <c r="D58" i="1"/>
  <c r="T44" i="1"/>
  <c r="P44" i="1"/>
  <c r="O44" i="1"/>
  <c r="N44" i="1"/>
  <c r="M44" i="1"/>
  <c r="J44" i="1"/>
  <c r="F44" i="1"/>
  <c r="E44" i="1"/>
  <c r="T30" i="1"/>
  <c r="N30" i="1"/>
  <c r="M30" i="1"/>
  <c r="J30" i="1"/>
  <c r="E30" i="1"/>
  <c r="D30" i="1"/>
  <c r="J16" i="1"/>
  <c r="T16" i="1"/>
  <c r="N16" i="1"/>
  <c r="M16" i="1"/>
  <c r="BH29" i="1"/>
  <c r="Q58" i="1"/>
  <c r="Q44" i="1"/>
  <c r="BD39" i="1"/>
  <c r="BD40" i="1" s="1"/>
  <c r="BF40" i="1" s="1"/>
  <c r="BD33" i="1"/>
  <c r="BD37" i="1" s="1"/>
  <c r="BF37" i="1" s="1"/>
  <c r="BD28" i="1"/>
  <c r="BE28" i="1"/>
  <c r="BE30" i="1" s="1"/>
  <c r="BF42" i="1"/>
  <c r="BF14" i="1"/>
  <c r="BF24" i="1" s="1"/>
  <c r="R58" i="1"/>
  <c r="R44" i="1"/>
  <c r="R30" i="1"/>
  <c r="Q30" i="1"/>
  <c r="R16" i="1"/>
  <c r="Q16" i="1"/>
  <c r="H58" i="1"/>
  <c r="G58" i="1"/>
  <c r="H44" i="1"/>
  <c r="G44" i="1"/>
  <c r="H30" i="1"/>
  <c r="G30" i="1"/>
  <c r="G16" i="1"/>
  <c r="H16" i="1"/>
  <c r="D16" i="1"/>
  <c r="I58" i="1" l="1"/>
  <c r="AL30" i="1"/>
  <c r="AL44" i="1"/>
  <c r="AL58" i="1"/>
  <c r="AV44" i="1"/>
  <c r="BD41" i="1"/>
  <c r="BF41" i="1" s="1"/>
  <c r="S58" i="1"/>
  <c r="AV58" i="1"/>
  <c r="S16" i="1"/>
  <c r="S72" i="1"/>
  <c r="S30" i="1"/>
  <c r="I72" i="1"/>
  <c r="I16" i="1"/>
  <c r="BE31" i="1"/>
  <c r="BE29" i="1"/>
  <c r="I30" i="1"/>
  <c r="I44" i="1"/>
  <c r="S44" i="1"/>
  <c r="BD31" i="1"/>
  <c r="BI29" i="1"/>
  <c r="BD35" i="1"/>
  <c r="BF35" i="1" s="1"/>
  <c r="BD30" i="1"/>
  <c r="BF30" i="1" s="1"/>
  <c r="BD36" i="1"/>
  <c r="BF36" i="1" s="1"/>
  <c r="BD29" i="1"/>
  <c r="BH31" i="1"/>
  <c r="BI31" i="1" s="1"/>
  <c r="BH30" i="1"/>
  <c r="BI30" i="1" s="1"/>
  <c r="BF31" i="1" l="1"/>
  <c r="BF29" i="1"/>
</calcChain>
</file>

<file path=xl/sharedStrings.xml><?xml version="1.0" encoding="utf-8"?>
<sst xmlns="http://schemas.openxmlformats.org/spreadsheetml/2006/main" count="514" uniqueCount="243">
  <si>
    <t>Kanepikanga töötlused, niiskuse absorbeerimiese vähendamiseks</t>
  </si>
  <si>
    <t>Töötluseta (referents) kanga omadused:</t>
  </si>
  <si>
    <t>Töötluseta (referents) kanga omadused: (1h leotus)</t>
  </si>
  <si>
    <t>Mass [g]</t>
  </si>
  <si>
    <t>Temp</t>
  </si>
  <si>
    <t>Õhuniiskus</t>
  </si>
  <si>
    <t>Tõmbetugevus</t>
  </si>
  <si>
    <t>Nihe</t>
  </si>
  <si>
    <t>Töötlused</t>
  </si>
  <si>
    <t>Kordus</t>
  </si>
  <si>
    <t>Leotuse variatsioonid</t>
  </si>
  <si>
    <t>Kuivatusviisid</t>
  </si>
  <si>
    <t>Katsekehade arv</t>
  </si>
  <si>
    <t>Katse nr,</t>
  </si>
  <si>
    <t>Algne</t>
  </si>
  <si>
    <t xml:space="preserve">
[°C]</t>
  </si>
  <si>
    <t xml:space="preserve">
[%]</t>
  </si>
  <si>
    <t xml:space="preserve">
[N]</t>
  </si>
  <si>
    <t>Katse nr</t>
  </si>
  <si>
    <t>Niiske</t>
  </si>
  <si>
    <t>Töötlemata</t>
  </si>
  <si>
    <t>IK1</t>
  </si>
  <si>
    <t>IM1</t>
  </si>
  <si>
    <t>Leelis</t>
  </si>
  <si>
    <t>IK2</t>
  </si>
  <si>
    <t>IM2</t>
  </si>
  <si>
    <t>Silaan</t>
  </si>
  <si>
    <t>IK3</t>
  </si>
  <si>
    <t>IM3</t>
  </si>
  <si>
    <t>Destilleeritud</t>
  </si>
  <si>
    <t>IK4</t>
  </si>
  <si>
    <t>IM4</t>
  </si>
  <si>
    <t>Atsetüül</t>
  </si>
  <si>
    <t>IK5</t>
  </si>
  <si>
    <t>IM5</t>
  </si>
  <si>
    <t>Kokku</t>
  </si>
  <si>
    <t>Tellimiseks:</t>
  </si>
  <si>
    <t>IK6</t>
  </si>
  <si>
    <t>IM6</t>
  </si>
  <si>
    <t>Aine</t>
  </si>
  <si>
    <t>CAS nr,</t>
  </si>
  <si>
    <t>Kogus</t>
  </si>
  <si>
    <t>Hind</t>
  </si>
  <si>
    <t>Aadress</t>
  </si>
  <si>
    <t>IK7</t>
  </si>
  <si>
    <t>IM7</t>
  </si>
  <si>
    <t>Soodium hüdroksiid</t>
  </si>
  <si>
    <t>NaOH</t>
  </si>
  <si>
    <t>1310-73-2</t>
  </si>
  <si>
    <t>2 kg</t>
  </si>
  <si>
    <t>https://www,sigmaaldrich,com/EE/en/product/sigald/s5881</t>
  </si>
  <si>
    <t>IK8</t>
  </si>
  <si>
    <t>IM8</t>
  </si>
  <si>
    <t>(3-Aminopropüül)trietoksüsilaan</t>
  </si>
  <si>
    <r>
      <t>C</t>
    </r>
    <r>
      <rPr>
        <vertAlign val="subscript"/>
        <sz val="11"/>
        <color rgb="FF006100"/>
        <rFont val="Calibri"/>
        <family val="2"/>
        <scheme val="minor"/>
      </rPr>
      <t>9</t>
    </r>
    <r>
      <rPr>
        <sz val="11"/>
        <color rgb="FF006100"/>
        <rFont val="Calibri"/>
        <family val="2"/>
        <scheme val="minor"/>
      </rPr>
      <t>H</t>
    </r>
    <r>
      <rPr>
        <vertAlign val="subscript"/>
        <sz val="11"/>
        <color rgb="FF006100"/>
        <rFont val="Calibri"/>
        <family val="2"/>
        <scheme val="minor"/>
      </rPr>
      <t>23</t>
    </r>
    <r>
      <rPr>
        <sz val="11"/>
        <color rgb="FF006100"/>
        <rFont val="Calibri"/>
        <family val="2"/>
        <scheme val="minor"/>
      </rPr>
      <t>NO</t>
    </r>
    <r>
      <rPr>
        <vertAlign val="subscript"/>
        <sz val="11"/>
        <color rgb="FF006100"/>
        <rFont val="Calibri"/>
        <family val="2"/>
        <scheme val="minor"/>
      </rPr>
      <t>3</t>
    </r>
    <r>
      <rPr>
        <sz val="11"/>
        <color rgb="FF006100"/>
        <rFont val="Calibri"/>
        <family val="2"/>
        <scheme val="minor"/>
      </rPr>
      <t>Si</t>
    </r>
  </si>
  <si>
    <t>919-30-2</t>
  </si>
  <si>
    <t>100 ml</t>
  </si>
  <si>
    <t>https://www,sigmaaldrich,com/EE/en/product/aldrich/440140</t>
  </si>
  <si>
    <t>Keskmine:</t>
  </si>
  <si>
    <t>Atsetanhüdriid ehk etaanhape</t>
  </si>
  <si>
    <r>
      <t>C</t>
    </r>
    <r>
      <rPr>
        <vertAlign val="subscript"/>
        <sz val="11"/>
        <color rgb="FF006100"/>
        <rFont val="Calibri"/>
        <family val="2"/>
        <scheme val="minor"/>
      </rPr>
      <t>4</t>
    </r>
    <r>
      <rPr>
        <sz val="11"/>
        <color rgb="FF006100"/>
        <rFont val="Calibri"/>
        <family val="2"/>
        <scheme val="minor"/>
      </rPr>
      <t>H</t>
    </r>
    <r>
      <rPr>
        <vertAlign val="subscript"/>
        <sz val="11"/>
        <color rgb="FF006100"/>
        <rFont val="Calibri"/>
        <family val="2"/>
        <scheme val="minor"/>
      </rPr>
      <t>6</t>
    </r>
    <r>
      <rPr>
        <sz val="11"/>
        <color rgb="FF006100"/>
        <rFont val="Calibri"/>
        <family val="2"/>
        <scheme val="minor"/>
      </rPr>
      <t>O</t>
    </r>
    <r>
      <rPr>
        <vertAlign val="subscript"/>
        <sz val="11"/>
        <color rgb="FF006100"/>
        <rFont val="Calibri"/>
        <family val="2"/>
        <scheme val="minor"/>
      </rPr>
      <t>3</t>
    </r>
  </si>
  <si>
    <t>108-24-7</t>
  </si>
  <si>
    <t>0,5 L</t>
  </si>
  <si>
    <t>https://www,sigmaaldrich,com/EE/en/product/sial/320102</t>
  </si>
  <si>
    <t>Ilma ahjus kuivatamiseta</t>
  </si>
  <si>
    <t>Perkloorhape</t>
  </si>
  <si>
    <r>
      <t>HClO</t>
    </r>
    <r>
      <rPr>
        <vertAlign val="subscript"/>
        <sz val="11"/>
        <color rgb="FF006100"/>
        <rFont val="Calibri"/>
        <family val="2"/>
        <scheme val="minor"/>
      </rPr>
      <t>4</t>
    </r>
  </si>
  <si>
    <t>7601-90-3</t>
  </si>
  <si>
    <t>https://www,sigmaaldrich,com/EE/en/product/sigald/311413</t>
  </si>
  <si>
    <t>Tolueen</t>
  </si>
  <si>
    <r>
      <t>C</t>
    </r>
    <r>
      <rPr>
        <vertAlign val="subscript"/>
        <sz val="11"/>
        <color rgb="FF006100"/>
        <rFont val="Calibri"/>
        <family val="2"/>
        <scheme val="minor"/>
      </rPr>
      <t>6</t>
    </r>
    <r>
      <rPr>
        <sz val="11"/>
        <color rgb="FF006100"/>
        <rFont val="Calibri"/>
        <family val="2"/>
        <scheme val="minor"/>
      </rPr>
      <t>H</t>
    </r>
    <r>
      <rPr>
        <vertAlign val="subscript"/>
        <sz val="11"/>
        <color rgb="FF006100"/>
        <rFont val="Calibri"/>
        <family val="2"/>
        <scheme val="minor"/>
      </rPr>
      <t>5</t>
    </r>
    <r>
      <rPr>
        <sz val="11"/>
        <color rgb="FF006100"/>
        <rFont val="Calibri"/>
        <family val="2"/>
        <scheme val="minor"/>
      </rPr>
      <t>CH</t>
    </r>
    <r>
      <rPr>
        <vertAlign val="subscript"/>
        <sz val="11"/>
        <color rgb="FF006100"/>
        <rFont val="Calibri"/>
        <family val="2"/>
        <scheme val="minor"/>
      </rPr>
      <t>3</t>
    </r>
  </si>
  <si>
    <t>108-88-3</t>
  </si>
  <si>
    <t>1 L</t>
  </si>
  <si>
    <t>https://www,sigmaaldrich,com/EE/en/product/sial/244511</t>
  </si>
  <si>
    <t>Töötlus 1: Mis aine (NaOH), töötluse aeg</t>
  </si>
  <si>
    <t>3-(trimetoksüsilüül)propüülmetakrülaat</t>
  </si>
  <si>
    <t>H2C=C(CH3)CO2(CH2)3Si(OCH3)3</t>
  </si>
  <si>
    <t>2530-85-0</t>
  </si>
  <si>
    <t>500 ml</t>
  </si>
  <si>
    <t>https://www,sigmaaldrich,com/EE/en/product/aldrich/440159</t>
  </si>
  <si>
    <t>Leelisega eeltöödeltud</t>
  </si>
  <si>
    <t>LK1</t>
  </si>
  <si>
    <t>LM1</t>
  </si>
  <si>
    <t>ILK1</t>
  </si>
  <si>
    <t>ILM1</t>
  </si>
  <si>
    <t>Etüülalkohol</t>
  </si>
  <si>
    <r>
      <t>C</t>
    </r>
    <r>
      <rPr>
        <vertAlign val="subscript"/>
        <sz val="11"/>
        <color rgb="FF006100"/>
        <rFont val="Calibri"/>
        <family val="2"/>
        <scheme val="minor"/>
      </rPr>
      <t>2</t>
    </r>
    <r>
      <rPr>
        <sz val="11"/>
        <color rgb="FF006100"/>
        <rFont val="Calibri"/>
        <family val="2"/>
        <scheme val="minor"/>
      </rPr>
      <t>H</t>
    </r>
    <r>
      <rPr>
        <vertAlign val="subscript"/>
        <sz val="11"/>
        <color rgb="FF006100"/>
        <rFont val="Calibri"/>
        <family val="2"/>
        <scheme val="minor"/>
      </rPr>
      <t>5</t>
    </r>
    <r>
      <rPr>
        <sz val="11"/>
        <color rgb="FF006100"/>
        <rFont val="Calibri"/>
        <family val="2"/>
        <scheme val="minor"/>
      </rPr>
      <t>OH</t>
    </r>
  </si>
  <si>
    <t>64-17-5</t>
  </si>
  <si>
    <t>25 L</t>
  </si>
  <si>
    <t>https://www,sigmaaldrich,com/EE/en/product/mm/100983</t>
  </si>
  <si>
    <t>LK2</t>
  </si>
  <si>
    <t>LM2</t>
  </si>
  <si>
    <t>ILK2</t>
  </si>
  <si>
    <t>ILM2</t>
  </si>
  <si>
    <t>Äädikhape</t>
  </si>
  <si>
    <t>CH₃COOH</t>
  </si>
  <si>
    <t>64-19-7</t>
  </si>
  <si>
    <t>https://www,sigmaaldrich,com/EE/en/product/sigald/a6283</t>
  </si>
  <si>
    <t>LK3</t>
  </si>
  <si>
    <t>LM3</t>
  </si>
  <si>
    <t>ILK3</t>
  </si>
  <si>
    <t>ILM3</t>
  </si>
  <si>
    <t>LK4</t>
  </si>
  <si>
    <t>LM4</t>
  </si>
  <si>
    <t>ILK4</t>
  </si>
  <si>
    <t>ILM4</t>
  </si>
  <si>
    <t>LK5</t>
  </si>
  <si>
    <t>LM5</t>
  </si>
  <si>
    <t>ILK5</t>
  </si>
  <si>
    <t>ILM5</t>
  </si>
  <si>
    <t>Lahuste arvutamine</t>
  </si>
  <si>
    <t>LK6</t>
  </si>
  <si>
    <t>LM6</t>
  </si>
  <si>
    <t>ILK6</t>
  </si>
  <si>
    <t>ILM6</t>
  </si>
  <si>
    <t>Lahus</t>
  </si>
  <si>
    <t>Kogus
[L]</t>
  </si>
  <si>
    <t>LK7</t>
  </si>
  <si>
    <t>LM7</t>
  </si>
  <si>
    <t>ILK7</t>
  </si>
  <si>
    <t>ILM7</t>
  </si>
  <si>
    <t>PÕHI- TÖÖTLUS</t>
  </si>
  <si>
    <t>NaOH lahus   (kogus [L])</t>
  </si>
  <si>
    <t>LK8</t>
  </si>
  <si>
    <t>LM8</t>
  </si>
  <si>
    <t>ILK8</t>
  </si>
  <si>
    <t>ILM8</t>
  </si>
  <si>
    <r>
      <t>C</t>
    </r>
    <r>
      <rPr>
        <vertAlign val="subscript"/>
        <sz val="11"/>
        <color rgb="FF000000"/>
        <rFont val="Lato"/>
        <family val="2"/>
      </rPr>
      <t>2</t>
    </r>
    <r>
      <rPr>
        <sz val="11"/>
        <color rgb="FF000000"/>
        <rFont val="Lato"/>
        <family val="2"/>
      </rPr>
      <t>H</t>
    </r>
    <r>
      <rPr>
        <vertAlign val="subscript"/>
        <sz val="11"/>
        <color rgb="FF000000"/>
        <rFont val="Lato"/>
        <family val="2"/>
      </rPr>
      <t>5</t>
    </r>
    <r>
      <rPr>
        <sz val="11"/>
        <color rgb="FF000000"/>
        <rFont val="Lato"/>
        <family val="2"/>
      </rPr>
      <t>OH</t>
    </r>
  </si>
  <si>
    <r>
      <t>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</si>
  <si>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t>Töötlus 2: Mis aine (Atsetüülhape), töötluse aeg</t>
  </si>
  <si>
    <t>Silaani lahus   (kogus [L])</t>
  </si>
  <si>
    <t>Atsetüüliga eeltöödeltud</t>
  </si>
  <si>
    <r>
      <t>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C=C(CH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(CH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Si(OCH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  <r>
      <rPr>
        <vertAlign val="subscript"/>
        <sz val="11"/>
        <color theme="1"/>
        <rFont val="Calibri"/>
        <family val="2"/>
        <scheme val="minor"/>
      </rPr>
      <t>3</t>
    </r>
  </si>
  <si>
    <t>AK1</t>
  </si>
  <si>
    <t>AM1</t>
  </si>
  <si>
    <t>IAK1</t>
  </si>
  <si>
    <t>IAM1</t>
  </si>
  <si>
    <t>AK2</t>
  </si>
  <si>
    <t>AM2</t>
  </si>
  <si>
    <t>IAK2</t>
  </si>
  <si>
    <t>IAM2</t>
  </si>
  <si>
    <t>AK3</t>
  </si>
  <si>
    <t>AM3</t>
  </si>
  <si>
    <t>IAK3</t>
  </si>
  <si>
    <t>IAM3</t>
  </si>
  <si>
    <t>AK4</t>
  </si>
  <si>
    <t>AM4</t>
  </si>
  <si>
    <t>IAK4</t>
  </si>
  <si>
    <t>IAM4</t>
  </si>
  <si>
    <t>Atsetüüli lahus   (kogus [L])</t>
  </si>
  <si>
    <t>AK5</t>
  </si>
  <si>
    <t>AM5</t>
  </si>
  <si>
    <t>IAK5</t>
  </si>
  <si>
    <t>IAM5</t>
  </si>
  <si>
    <r>
      <t>C</t>
    </r>
    <r>
      <rPr>
        <vertAlign val="subscript"/>
        <sz val="11"/>
        <color rgb="FF000000"/>
        <rFont val="Lato"/>
        <family val="2"/>
      </rPr>
      <t>6</t>
    </r>
    <r>
      <rPr>
        <sz val="9"/>
        <color rgb="FF000000"/>
        <rFont val="Lato"/>
        <family val="2"/>
      </rPr>
      <t>H</t>
    </r>
    <r>
      <rPr>
        <vertAlign val="subscript"/>
        <sz val="11"/>
        <color rgb="FF000000"/>
        <rFont val="Lato"/>
        <family val="2"/>
      </rPr>
      <t>5</t>
    </r>
    <r>
      <rPr>
        <sz val="9"/>
        <color rgb="FF000000"/>
        <rFont val="Lato"/>
        <family val="2"/>
      </rPr>
      <t>CH</t>
    </r>
    <r>
      <rPr>
        <vertAlign val="subscript"/>
        <sz val="11"/>
        <color rgb="FF000000"/>
        <rFont val="Lato"/>
        <family val="2"/>
      </rPr>
      <t>3</t>
    </r>
  </si>
  <si>
    <t>AK6</t>
  </si>
  <si>
    <t>AM6</t>
  </si>
  <si>
    <t>IAK6</t>
  </si>
  <si>
    <t>IAM6</t>
  </si>
  <si>
    <r>
      <t>C</t>
    </r>
    <r>
      <rPr>
        <vertAlign val="sub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3</t>
    </r>
  </si>
  <si>
    <t>AK7</t>
  </si>
  <si>
    <t>AM7</t>
  </si>
  <si>
    <t>IAK7</t>
  </si>
  <si>
    <t>IAM7</t>
  </si>
  <si>
    <r>
      <t>HClO</t>
    </r>
    <r>
      <rPr>
        <vertAlign val="subscript"/>
        <sz val="11"/>
        <color rgb="FF000000"/>
        <rFont val="Lato"/>
        <family val="2"/>
      </rPr>
      <t>4</t>
    </r>
  </si>
  <si>
    <t>AK8</t>
  </si>
  <si>
    <t>AM8</t>
  </si>
  <si>
    <t>IAK8</t>
  </si>
  <si>
    <t>IAM8</t>
  </si>
  <si>
    <t>Töötlus 3: Mis aine (Silaan), töötluse aeg</t>
  </si>
  <si>
    <t>Silaaniga eeltöödeltud</t>
  </si>
  <si>
    <t>SK1</t>
  </si>
  <si>
    <t>SM1</t>
  </si>
  <si>
    <t>ISK1</t>
  </si>
  <si>
    <t>ISM1</t>
  </si>
  <si>
    <t>SK2</t>
  </si>
  <si>
    <t>SM2</t>
  </si>
  <si>
    <t>ISK2</t>
  </si>
  <si>
    <t>ISM2</t>
  </si>
  <si>
    <t>SK3</t>
  </si>
  <si>
    <t>SM3</t>
  </si>
  <si>
    <t>ISK3</t>
  </si>
  <si>
    <t>ISM3</t>
  </si>
  <si>
    <t>SK4</t>
  </si>
  <si>
    <t>SM4</t>
  </si>
  <si>
    <t>ISK4</t>
  </si>
  <si>
    <t>ISM4</t>
  </si>
  <si>
    <t>SK5</t>
  </si>
  <si>
    <t>SM5</t>
  </si>
  <si>
    <t>ISK5</t>
  </si>
  <si>
    <t>ISM5</t>
  </si>
  <si>
    <t>SK6</t>
  </si>
  <si>
    <t>SM6</t>
  </si>
  <si>
    <t>ISK6</t>
  </si>
  <si>
    <t>ISM6</t>
  </si>
  <si>
    <t>SK7</t>
  </si>
  <si>
    <t>SM7</t>
  </si>
  <si>
    <t>ISK7</t>
  </si>
  <si>
    <t>ISM7</t>
  </si>
  <si>
    <t>SK8</t>
  </si>
  <si>
    <t>SM8</t>
  </si>
  <si>
    <t>ISK8</t>
  </si>
  <si>
    <t>ISM8</t>
  </si>
  <si>
    <t>Töötlus 4:  (Vesi- 72h: kuivatus- 24h)</t>
  </si>
  <si>
    <t>Töötlus 4:    (Vesi- 72h: kuivatus- 24h) (1h leotus)</t>
  </si>
  <si>
    <t>Kuivade keskmine</t>
  </si>
  <si>
    <t>Destileeritud veega eeltöödeltud</t>
  </si>
  <si>
    <t>Atseüüli/silaaniga eeltöödeltud</t>
  </si>
  <si>
    <t>Atsetüüli/silaaniga eeltöödeltud</t>
  </si>
  <si>
    <t>DK1</t>
  </si>
  <si>
    <t>DM1</t>
  </si>
  <si>
    <t>IK</t>
  </si>
  <si>
    <t>IM</t>
  </si>
  <si>
    <t>DK2</t>
  </si>
  <si>
    <t>DM2</t>
  </si>
  <si>
    <t>LK</t>
  </si>
  <si>
    <t>LM</t>
  </si>
  <si>
    <t>DK3</t>
  </si>
  <si>
    <t>DM3</t>
  </si>
  <si>
    <t>AK</t>
  </si>
  <si>
    <t>AM</t>
  </si>
  <si>
    <t>DK4</t>
  </si>
  <si>
    <t>DM4</t>
  </si>
  <si>
    <t>SK</t>
  </si>
  <si>
    <t>SM</t>
  </si>
  <si>
    <t>DK5</t>
  </si>
  <si>
    <t>DM5</t>
  </si>
  <si>
    <t>DK</t>
  </si>
  <si>
    <t>DM</t>
  </si>
  <si>
    <t>DK6</t>
  </si>
  <si>
    <t>DM6</t>
  </si>
  <si>
    <t>ILK</t>
  </si>
  <si>
    <t>ILM</t>
  </si>
  <si>
    <t>DK7</t>
  </si>
  <si>
    <t>DM7</t>
  </si>
  <si>
    <t>IAK</t>
  </si>
  <si>
    <t>IAM</t>
  </si>
  <si>
    <t>DK8</t>
  </si>
  <si>
    <t>DM8</t>
  </si>
  <si>
    <t>ISK</t>
  </si>
  <si>
    <t>ISM</t>
  </si>
  <si>
    <t>Ebaõnnestunud katse</t>
  </si>
  <si>
    <t>Atsetüüli/ silaaniga eeltöödeltud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</si>
</sst>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9"/>
      <color rgb="FF000000"/>
      <name val="Lato"/>
      <family val="2"/>
    </font>
    <font>
      <vertAlign val="subscript"/>
      <sz val="11"/>
      <color rgb="FF000000"/>
      <name val="Lato"/>
      <family val="2"/>
    </font>
    <font>
      <sz val="11"/>
      <color rgb="FF000000"/>
      <name val="Lato"/>
      <family val="2"/>
    </font>
    <font>
      <vertAlign val="subscript"/>
      <sz val="11"/>
      <color rgb="FF0061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444444"/>
      <name val="Calibri"/>
      <family val="2"/>
      <charset val="1"/>
    </font>
    <font>
      <b/>
      <sz val="11"/>
      <color theme="1"/>
      <name val="Calibri"/>
      <family val="2"/>
      <charset val="186"/>
      <scheme val="minor"/>
    </font>
    <font>
      <sz val="11"/>
      <name val="Consolas"/>
      <charset val="1"/>
    </font>
  </fonts>
  <fills count="11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</cellStyleXfs>
  <cellXfs count="112">
    <xf numFmtId="0" fontId="0" fillId="0" borderId="0" xfId="0"/>
    <xf numFmtId="0" fontId="0" fillId="0" borderId="4" xfId="0" applyBorder="1"/>
    <xf numFmtId="0" fontId="0" fillId="0" borderId="7" xfId="0" applyBorder="1"/>
    <xf numFmtId="0" fontId="1" fillId="4" borderId="0" xfId="0" applyFont="1" applyFill="1" applyAlignment="1">
      <alignment vertical="center"/>
    </xf>
    <xf numFmtId="0" fontId="1" fillId="4" borderId="5" xfId="0" applyFont="1" applyFill="1" applyBorder="1" applyAlignment="1">
      <alignment vertical="center"/>
    </xf>
    <xf numFmtId="0" fontId="6" fillId="0" borderId="5" xfId="1" applyBorder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4" borderId="9" xfId="0" applyFont="1" applyFill="1" applyBorder="1" applyAlignment="1">
      <alignment vertical="center"/>
    </xf>
    <xf numFmtId="0" fontId="1" fillId="4" borderId="10" xfId="0" applyFont="1" applyFill="1" applyBorder="1" applyAlignment="1">
      <alignment horizontal="center" vertical="center"/>
    </xf>
    <xf numFmtId="9" fontId="1" fillId="4" borderId="10" xfId="0" applyNumberFormat="1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 wrapText="1"/>
    </xf>
    <xf numFmtId="0" fontId="0" fillId="7" borderId="4" xfId="0" applyFill="1" applyBorder="1"/>
    <xf numFmtId="0" fontId="0" fillId="7" borderId="0" xfId="0" applyFill="1"/>
    <xf numFmtId="0" fontId="0" fillId="7" borderId="0" xfId="0" applyFill="1" applyAlignment="1">
      <alignment horizontal="center"/>
    </xf>
    <xf numFmtId="0" fontId="0" fillId="3" borderId="5" xfId="0" applyFill="1" applyBorder="1" applyAlignment="1">
      <alignment horizontal="center"/>
    </xf>
    <xf numFmtId="0" fontId="0" fillId="7" borderId="4" xfId="0" applyFill="1" applyBorder="1" applyAlignment="1">
      <alignment horizontal="lef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0" fillId="7" borderId="2" xfId="0" applyFill="1" applyBorder="1"/>
    <xf numFmtId="0" fontId="0" fillId="7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9" fillId="6" borderId="4" xfId="3" applyBorder="1"/>
    <xf numFmtId="0" fontId="9" fillId="6" borderId="0" xfId="3"/>
    <xf numFmtId="0" fontId="9" fillId="6" borderId="5" xfId="3" applyBorder="1"/>
    <xf numFmtId="0" fontId="8" fillId="5" borderId="4" xfId="2" applyBorder="1"/>
    <xf numFmtId="0" fontId="8" fillId="5" borderId="0" xfId="2"/>
    <xf numFmtId="0" fontId="8" fillId="5" borderId="5" xfId="2" applyBorder="1"/>
    <xf numFmtId="0" fontId="8" fillId="5" borderId="0" xfId="2" applyAlignment="1">
      <alignment horizontal="center"/>
    </xf>
    <xf numFmtId="0" fontId="9" fillId="6" borderId="0" xfId="3" applyAlignment="1">
      <alignment horizontal="center"/>
    </xf>
    <xf numFmtId="0" fontId="8" fillId="5" borderId="0" xfId="2" applyBorder="1"/>
    <xf numFmtId="0" fontId="6" fillId="5" borderId="5" xfId="1" applyFill="1" applyBorder="1"/>
    <xf numFmtId="0" fontId="1" fillId="4" borderId="1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1" fillId="4" borderId="3" xfId="0" applyFont="1" applyFill="1" applyBorder="1" applyAlignment="1">
      <alignment vertical="center" wrapText="1"/>
    </xf>
    <xf numFmtId="0" fontId="8" fillId="0" borderId="4" xfId="2" applyFill="1" applyBorder="1"/>
    <xf numFmtId="0" fontId="8" fillId="0" borderId="0" xfId="2" applyFill="1" applyBorder="1"/>
    <xf numFmtId="0" fontId="8" fillId="0" borderId="5" xfId="2" applyFill="1" applyBorder="1" applyAlignment="1">
      <alignment horizontal="center"/>
    </xf>
    <xf numFmtId="0" fontId="8" fillId="0" borderId="6" xfId="2" applyFill="1" applyBorder="1"/>
    <xf numFmtId="0" fontId="8" fillId="0" borderId="7" xfId="2" applyFill="1" applyBorder="1"/>
    <xf numFmtId="0" fontId="8" fillId="0" borderId="8" xfId="2" applyFill="1" applyBorder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14" fillId="8" borderId="0" xfId="0" applyFont="1" applyFill="1" applyAlignment="1">
      <alignment horizontal="center"/>
    </xf>
    <xf numFmtId="0" fontId="14" fillId="9" borderId="0" xfId="0" applyFont="1" applyFill="1" applyAlignment="1">
      <alignment horizontal="center"/>
    </xf>
    <xf numFmtId="0" fontId="9" fillId="6" borderId="0" xfId="3" applyBorder="1"/>
    <xf numFmtId="0" fontId="0" fillId="10" borderId="0" xfId="0" applyFill="1"/>
    <xf numFmtId="0" fontId="0" fillId="10" borderId="0" xfId="0" applyFill="1" applyAlignment="1">
      <alignment horizontal="center"/>
    </xf>
    <xf numFmtId="0" fontId="1" fillId="10" borderId="14" xfId="0" applyFont="1" applyFill="1" applyBorder="1" applyAlignment="1">
      <alignment horizontal="center"/>
    </xf>
    <xf numFmtId="0" fontId="1" fillId="10" borderId="14" xfId="0" applyFont="1" applyFill="1" applyBorder="1" applyAlignment="1">
      <alignment horizontal="left"/>
    </xf>
    <xf numFmtId="0" fontId="1" fillId="10" borderId="14" xfId="0" applyFont="1" applyFill="1" applyBorder="1" applyAlignment="1">
      <alignment horizontal="center" wrapText="1"/>
    </xf>
    <xf numFmtId="0" fontId="1" fillId="10" borderId="14" xfId="0" applyFont="1" applyFill="1" applyBorder="1" applyAlignment="1">
      <alignment wrapText="1"/>
    </xf>
    <xf numFmtId="0" fontId="1" fillId="10" borderId="14" xfId="0" applyFont="1" applyFill="1" applyBorder="1"/>
    <xf numFmtId="0" fontId="0" fillId="10" borderId="14" xfId="0" applyFill="1" applyBorder="1" applyAlignment="1">
      <alignment horizontal="center"/>
    </xf>
    <xf numFmtId="2" fontId="0" fillId="10" borderId="14" xfId="0" applyNumberFormat="1" applyFill="1" applyBorder="1" applyAlignment="1">
      <alignment horizontal="center"/>
    </xf>
    <xf numFmtId="0" fontId="4" fillId="10" borderId="14" xfId="0" applyFont="1" applyFill="1" applyBorder="1"/>
    <xf numFmtId="0" fontId="0" fillId="10" borderId="14" xfId="0" applyFill="1" applyBorder="1"/>
    <xf numFmtId="0" fontId="1" fillId="10" borderId="13" xfId="0" applyFont="1" applyFill="1" applyBorder="1" applyAlignment="1">
      <alignment horizontal="center"/>
    </xf>
    <xf numFmtId="0" fontId="5" fillId="10" borderId="13" xfId="0" applyFont="1" applyFill="1" applyBorder="1" applyAlignment="1">
      <alignment horizontal="center"/>
    </xf>
    <xf numFmtId="0" fontId="0" fillId="10" borderId="13" xfId="0" applyFill="1" applyBorder="1" applyAlignment="1">
      <alignment horizontal="center"/>
    </xf>
    <xf numFmtId="0" fontId="4" fillId="10" borderId="13" xfId="0" applyFont="1" applyFill="1" applyBorder="1"/>
    <xf numFmtId="0" fontId="0" fillId="10" borderId="5" xfId="0" applyFill="1" applyBorder="1"/>
    <xf numFmtId="0" fontId="0" fillId="10" borderId="7" xfId="0" applyFill="1" applyBorder="1"/>
    <xf numFmtId="0" fontId="0" fillId="10" borderId="8" xfId="0" applyFill="1" applyBorder="1"/>
    <xf numFmtId="0" fontId="1" fillId="10" borderId="13" xfId="0" applyFont="1" applyFill="1" applyBorder="1" applyAlignment="1">
      <alignment horizontal="left"/>
    </xf>
    <xf numFmtId="0" fontId="1" fillId="10" borderId="13" xfId="0" applyFont="1" applyFill="1" applyBorder="1" applyAlignment="1">
      <alignment horizontal="center" wrapText="1"/>
    </xf>
    <xf numFmtId="0" fontId="1" fillId="10" borderId="13" xfId="0" applyFont="1" applyFill="1" applyBorder="1"/>
    <xf numFmtId="0" fontId="0" fillId="10" borderId="13" xfId="0" applyFill="1" applyBorder="1"/>
    <xf numFmtId="0" fontId="0" fillId="10" borderId="4" xfId="0" applyFill="1" applyBorder="1"/>
    <xf numFmtId="0" fontId="0" fillId="10" borderId="6" xfId="0" applyFill="1" applyBorder="1"/>
    <xf numFmtId="0" fontId="0" fillId="10" borderId="1" xfId="0" applyFill="1" applyBorder="1"/>
    <xf numFmtId="0" fontId="0" fillId="10" borderId="2" xfId="0" applyFill="1" applyBorder="1"/>
    <xf numFmtId="0" fontId="0" fillId="10" borderId="3" xfId="0" applyFill="1" applyBorder="1"/>
    <xf numFmtId="0" fontId="0" fillId="10" borderId="0" xfId="0" applyFill="1" applyAlignment="1">
      <alignment horizontal="right"/>
    </xf>
    <xf numFmtId="0" fontId="17" fillId="10" borderId="14" xfId="0" quotePrefix="1" applyFont="1" applyFill="1" applyBorder="1"/>
    <xf numFmtId="0" fontId="0" fillId="10" borderId="12" xfId="0" applyFill="1" applyBorder="1"/>
    <xf numFmtId="0" fontId="16" fillId="10" borderId="14" xfId="0" applyFont="1" applyFill="1" applyBorder="1" applyAlignment="1">
      <alignment horizontal="center"/>
    </xf>
    <xf numFmtId="0" fontId="18" fillId="10" borderId="9" xfId="0" applyFont="1" applyFill="1" applyBorder="1"/>
    <xf numFmtId="0" fontId="0" fillId="10" borderId="10" xfId="0" applyFill="1" applyBorder="1"/>
    <xf numFmtId="0" fontId="0" fillId="10" borderId="11" xfId="0" applyFill="1" applyBorder="1"/>
    <xf numFmtId="0" fontId="1" fillId="10" borderId="18" xfId="0" applyFont="1" applyFill="1" applyBorder="1" applyAlignment="1">
      <alignment horizontal="center"/>
    </xf>
    <xf numFmtId="0" fontId="1" fillId="10" borderId="18" xfId="0" applyFont="1" applyFill="1" applyBorder="1" applyAlignment="1">
      <alignment horizontal="left"/>
    </xf>
    <xf numFmtId="0" fontId="0" fillId="0" borderId="14" xfId="0" applyBorder="1"/>
    <xf numFmtId="0" fontId="19" fillId="0" borderId="0" xfId="0" applyFont="1"/>
    <xf numFmtId="0" fontId="5" fillId="0" borderId="0" xfId="0" applyFont="1"/>
    <xf numFmtId="0" fontId="1" fillId="10" borderId="14" xfId="0" applyFont="1" applyFill="1" applyBorder="1" applyAlignment="1">
      <alignment horizontal="center"/>
    </xf>
    <xf numFmtId="0" fontId="1" fillId="10" borderId="18" xfId="0" applyFont="1" applyFill="1" applyBorder="1" applyAlignment="1">
      <alignment horizontal="center"/>
    </xf>
    <xf numFmtId="0" fontId="1" fillId="10" borderId="13" xfId="0" applyFont="1" applyFill="1" applyBorder="1" applyAlignment="1">
      <alignment horizontal="center"/>
    </xf>
    <xf numFmtId="0" fontId="1" fillId="10" borderId="15" xfId="0" applyFont="1" applyFill="1" applyBorder="1" applyAlignment="1">
      <alignment horizontal="center"/>
    </xf>
    <xf numFmtId="0" fontId="1" fillId="10" borderId="16" xfId="0" applyFont="1" applyFill="1" applyBorder="1" applyAlignment="1">
      <alignment horizontal="center"/>
    </xf>
    <xf numFmtId="0" fontId="1" fillId="10" borderId="17" xfId="0" applyFont="1" applyFill="1" applyBorder="1" applyAlignment="1">
      <alignment horizontal="center"/>
    </xf>
    <xf numFmtId="0" fontId="1" fillId="10" borderId="13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10" borderId="1" xfId="0" applyFont="1" applyFill="1" applyBorder="1" applyAlignment="1">
      <alignment horizontal="left"/>
    </xf>
    <xf numFmtId="0" fontId="1" fillId="10" borderId="2" xfId="0" applyFont="1" applyFill="1" applyBorder="1" applyAlignment="1">
      <alignment horizontal="left"/>
    </xf>
    <xf numFmtId="0" fontId="1" fillId="10" borderId="3" xfId="0" applyFont="1" applyFill="1" applyBorder="1" applyAlignment="1">
      <alignment horizontal="left"/>
    </xf>
    <xf numFmtId="0" fontId="15" fillId="10" borderId="0" xfId="0" applyFont="1" applyFill="1" applyAlignment="1">
      <alignment horizontal="center"/>
    </xf>
    <xf numFmtId="0" fontId="1" fillId="0" borderId="5" xfId="0" applyFont="1" applyBorder="1" applyAlignment="1">
      <alignment horizontal="center" vertical="center" textRotation="90" wrapText="1"/>
    </xf>
    <xf numFmtId="0" fontId="3" fillId="10" borderId="1" xfId="0" applyFont="1" applyFill="1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/>
    </xf>
    <xf numFmtId="0" fontId="3" fillId="10" borderId="3" xfId="0" applyFont="1" applyFill="1" applyBorder="1" applyAlignment="1">
      <alignment horizontal="center" vertical="center"/>
    </xf>
    <xf numFmtId="0" fontId="3" fillId="10" borderId="4" xfId="0" applyFont="1" applyFill="1" applyBorder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0" borderId="5" xfId="0" applyFont="1" applyFill="1" applyBorder="1" applyAlignment="1">
      <alignment horizontal="center" vertical="center"/>
    </xf>
  </cellXfs>
  <cellStyles count="4">
    <cellStyle name="Bad" xfId="3" builtinId="27"/>
    <cellStyle name="Good" xfId="2" builtinId="26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64</xdr:col>
      <xdr:colOff>407722</xdr:colOff>
      <xdr:row>23</xdr:row>
      <xdr:rowOff>14222</xdr:rowOff>
    </xdr:from>
    <xdr:to>
      <xdr:col>67</xdr:col>
      <xdr:colOff>531460</xdr:colOff>
      <xdr:row>30</xdr:row>
      <xdr:rowOff>89021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EBABC1-CAA1-69CE-229B-AB0E59EA5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64663" y="2994987"/>
          <a:ext cx="1935916" cy="10589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64</xdr:col>
      <xdr:colOff>384776</xdr:colOff>
      <xdr:row>16</xdr:row>
      <xdr:rowOff>87966</xdr:rowOff>
    </xdr:from>
    <xdr:to>
      <xdr:col>68</xdr:col>
      <xdr:colOff>421153</xdr:colOff>
      <xdr:row>20</xdr:row>
      <xdr:rowOff>420261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B4B072B-2926-3E51-5F70-6F8F67E06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5426" y="1891366"/>
          <a:ext cx="2474779" cy="1148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64</xdr:col>
      <xdr:colOff>403411</xdr:colOff>
      <xdr:row>11</xdr:row>
      <xdr:rowOff>123265</xdr:rowOff>
    </xdr:from>
    <xdr:to>
      <xdr:col>68</xdr:col>
      <xdr:colOff>17380</xdr:colOff>
      <xdr:row>17</xdr:row>
      <xdr:rowOff>206368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CBC898-C914-381D-7458-4CFED1FEA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8470" y="806824"/>
          <a:ext cx="2031267" cy="10935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64</xdr:col>
      <xdr:colOff>429491</xdr:colOff>
      <xdr:row>27</xdr:row>
      <xdr:rowOff>129309</xdr:rowOff>
    </xdr:from>
    <xdr:to>
      <xdr:col>69</xdr:col>
      <xdr:colOff>536570</xdr:colOff>
      <xdr:row>33</xdr:row>
      <xdr:rowOff>198049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ECFB7F1-FE16-0978-5FE1-B26DF1555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70141" y="4066309"/>
          <a:ext cx="3155084" cy="10349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,sigmaaldrich,com/EE/en/product/sigald/311413" TargetMode="External"/><Relationship Id="rId3" Type="http://schemas.openxmlformats.org/officeDocument/2006/relationships/hyperlink" Target="https://www.sigmaaldrich.com/EE/en/product/aldrich/440140" TargetMode="External"/><Relationship Id="rId7" Type="http://schemas.openxmlformats.org/officeDocument/2006/relationships/hyperlink" Target="https://www.sigmaaldrich.com/EE/en/product/sial/244511" TargetMode="External"/><Relationship Id="rId2" Type="http://schemas.openxmlformats.org/officeDocument/2006/relationships/hyperlink" Target="https://www.sigmaaldrich.com/EE/en/product/sigald/a6283" TargetMode="External"/><Relationship Id="rId1" Type="http://schemas.openxmlformats.org/officeDocument/2006/relationships/hyperlink" Target="https://www.sigmaaldrich.com/EE/en/product/sigald/s5881" TargetMode="External"/><Relationship Id="rId6" Type="http://schemas.openxmlformats.org/officeDocument/2006/relationships/hyperlink" Target="https://www.sigmaaldrich.com/EE/en/product/aldrich/440159" TargetMode="External"/><Relationship Id="rId5" Type="http://schemas.openxmlformats.org/officeDocument/2006/relationships/hyperlink" Target="https://www.sigmaaldrich.com/EE/en/product/mm/100983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www.sigmaaldrich.com/EE/en/product/sial/320102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709D0-F84C-411B-8230-8DC274755E3C}">
  <dimension ref="A1:BI91"/>
  <sheetViews>
    <sheetView showGridLines="0" tabSelected="1" topLeftCell="M1" zoomScale="110" zoomScaleNormal="110" workbookViewId="0">
      <selection activeCell="Z12" sqref="Z12"/>
    </sheetView>
  </sheetViews>
  <sheetFormatPr defaultRowHeight="15"/>
  <cols>
    <col min="2" max="2" width="4" customWidth="1"/>
    <col min="3" max="3" width="9.140625" customWidth="1"/>
    <col min="4" max="4" width="9.42578125" customWidth="1"/>
    <col min="5" max="6" width="8.5703125" customWidth="1"/>
    <col min="7" max="7" width="7" customWidth="1"/>
    <col min="8" max="8" width="9.85546875" customWidth="1"/>
    <col min="9" max="9" width="13.140625" customWidth="1"/>
    <col min="10" max="10" width="6.85546875" customWidth="1"/>
    <col min="11" max="11" width="5.28515625" customWidth="1"/>
    <col min="12" max="13" width="9.140625" bestFit="1" customWidth="1"/>
    <col min="14" max="14" width="11.42578125" customWidth="1"/>
    <col min="15" max="15" width="13.85546875" customWidth="1"/>
    <col min="16" max="16" width="7.5703125" customWidth="1"/>
    <col min="17" max="17" width="9.140625" bestFit="1" customWidth="1"/>
    <col min="18" max="18" width="10.140625" customWidth="1"/>
    <col min="19" max="19" width="13.28515625" customWidth="1"/>
    <col min="20" max="20" width="9.140625" bestFit="1" customWidth="1"/>
    <col min="21" max="22" width="9.140625" customWidth="1"/>
    <col min="23" max="23" width="14.7109375" customWidth="1"/>
    <col min="24" max="24" width="9.140625" customWidth="1"/>
    <col min="25" max="25" width="20.140625" bestFit="1" customWidth="1"/>
    <col min="26" max="26" width="12.7109375" customWidth="1"/>
    <col min="27" max="27" width="14.28515625" customWidth="1"/>
    <col min="28" max="30" width="9.140625" customWidth="1"/>
    <col min="31" max="31" width="11.28515625" customWidth="1"/>
    <col min="32" max="32" width="10.28515625" bestFit="1" customWidth="1"/>
    <col min="33" max="33" width="9.140625" customWidth="1"/>
    <col min="34" max="34" width="13.28515625" customWidth="1"/>
    <col min="35" max="35" width="7.7109375" customWidth="1"/>
    <col min="36" max="36" width="9.140625" customWidth="1"/>
    <col min="37" max="37" width="10.85546875" customWidth="1"/>
    <col min="38" max="38" width="13.85546875" customWidth="1"/>
    <col min="39" max="41" width="9.140625" customWidth="1"/>
    <col min="42" max="42" width="10.28515625" customWidth="1"/>
    <col min="43" max="43" width="12.28515625" customWidth="1"/>
    <col min="44" max="44" width="14.42578125" customWidth="1"/>
    <col min="45" max="45" width="7.7109375" customWidth="1"/>
    <col min="46" max="46" width="7.42578125" customWidth="1"/>
    <col min="47" max="47" width="11.140625" customWidth="1"/>
    <col min="48" max="48" width="14.42578125" customWidth="1"/>
    <col min="49" max="49" width="9.140625" customWidth="1"/>
    <col min="50" max="50" width="10" customWidth="1"/>
    <col min="54" max="54" width="35.7109375" customWidth="1"/>
    <col min="55" max="55" width="11.7109375" customWidth="1"/>
    <col min="61" max="61" width="12" bestFit="1" customWidth="1"/>
  </cols>
  <sheetData>
    <row r="1" spans="1:59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59" ht="7.5" customHeight="1">
      <c r="A2" s="49"/>
      <c r="B2" s="73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5"/>
      <c r="V2" s="49"/>
      <c r="W2" s="49"/>
      <c r="X2" s="49"/>
      <c r="Y2" s="49"/>
      <c r="Z2" s="49"/>
      <c r="AA2" s="49"/>
      <c r="AB2" s="49"/>
      <c r="AC2" s="49"/>
      <c r="AD2" s="49"/>
    </row>
    <row r="3" spans="1:59" ht="15" customHeight="1">
      <c r="A3" s="49"/>
      <c r="B3" s="71"/>
      <c r="C3" s="106" t="s">
        <v>0</v>
      </c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8"/>
      <c r="U3" s="64"/>
      <c r="V3" s="49"/>
      <c r="W3" s="49"/>
      <c r="X3" s="49"/>
      <c r="Y3" s="49"/>
      <c r="Z3" s="49"/>
      <c r="AA3" s="49"/>
      <c r="AB3" s="49"/>
      <c r="AC3" s="49"/>
      <c r="AD3" s="49"/>
      <c r="AF3" s="86"/>
      <c r="AG3" s="87"/>
    </row>
    <row r="4" spans="1:59" ht="15" customHeight="1">
      <c r="A4" s="49"/>
      <c r="B4" s="71"/>
      <c r="C4" s="109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1"/>
      <c r="U4" s="64"/>
      <c r="V4" s="49"/>
      <c r="W4" s="49"/>
      <c r="X4" s="49"/>
      <c r="Y4" s="49"/>
      <c r="Z4" s="49"/>
      <c r="AA4" s="49"/>
      <c r="AB4" s="49"/>
      <c r="AC4" s="49"/>
      <c r="AD4" s="49"/>
      <c r="AF4" s="86"/>
      <c r="AG4" s="87"/>
    </row>
    <row r="5" spans="1:59">
      <c r="A5" s="49"/>
      <c r="B5" s="71"/>
      <c r="C5" s="101" t="s">
        <v>1</v>
      </c>
      <c r="D5" s="102"/>
      <c r="E5" s="102"/>
      <c r="F5" s="102"/>
      <c r="G5" s="102"/>
      <c r="H5" s="102"/>
      <c r="I5" s="102"/>
      <c r="J5" s="103"/>
      <c r="K5" s="49"/>
      <c r="L5" s="101" t="s">
        <v>2</v>
      </c>
      <c r="M5" s="102"/>
      <c r="N5" s="102"/>
      <c r="O5" s="102"/>
      <c r="P5" s="102"/>
      <c r="Q5" s="102"/>
      <c r="R5" s="102"/>
      <c r="S5" s="102"/>
      <c r="T5" s="103"/>
      <c r="U5" s="64"/>
      <c r="V5" s="49"/>
      <c r="W5" s="49"/>
      <c r="X5" s="49"/>
      <c r="Y5" s="49"/>
      <c r="Z5" s="49"/>
      <c r="AA5" s="49"/>
      <c r="AB5" s="49"/>
      <c r="AC5" s="49"/>
      <c r="AD5" s="49"/>
      <c r="AF5" s="86"/>
      <c r="AG5" s="87"/>
    </row>
    <row r="6" spans="1:59" ht="18" customHeight="1">
      <c r="A6" s="49"/>
      <c r="B6" s="71"/>
      <c r="C6" s="52"/>
      <c r="D6" s="91" t="s">
        <v>3</v>
      </c>
      <c r="E6" s="92"/>
      <c r="F6" s="93"/>
      <c r="G6" s="51" t="s">
        <v>4</v>
      </c>
      <c r="H6" s="52" t="s">
        <v>5</v>
      </c>
      <c r="I6" s="52" t="s">
        <v>6</v>
      </c>
      <c r="J6" s="52" t="s">
        <v>7</v>
      </c>
      <c r="K6" s="49"/>
      <c r="L6" s="51"/>
      <c r="M6" s="88" t="s">
        <v>3</v>
      </c>
      <c r="N6" s="88"/>
      <c r="O6" s="88"/>
      <c r="P6" s="88"/>
      <c r="Q6" s="51" t="s">
        <v>4</v>
      </c>
      <c r="R6" s="52" t="s">
        <v>5</v>
      </c>
      <c r="S6" s="52" t="s">
        <v>6</v>
      </c>
      <c r="T6" s="52" t="s">
        <v>7</v>
      </c>
      <c r="U6" s="64"/>
      <c r="V6" s="49"/>
      <c r="W6" s="59" t="s">
        <v>8</v>
      </c>
      <c r="X6" s="59" t="s">
        <v>9</v>
      </c>
      <c r="Y6" s="59" t="s">
        <v>10</v>
      </c>
      <c r="Z6" s="59" t="s">
        <v>11</v>
      </c>
      <c r="AA6" s="59" t="s">
        <v>12</v>
      </c>
      <c r="AB6" s="49"/>
      <c r="AC6" s="49"/>
      <c r="AD6" s="49"/>
      <c r="AF6" s="86"/>
      <c r="AG6" s="87"/>
    </row>
    <row r="7" spans="1:59" ht="23.25" customHeight="1">
      <c r="A7" s="49"/>
      <c r="B7" s="71"/>
      <c r="C7" s="51" t="s">
        <v>13</v>
      </c>
      <c r="D7" s="53" t="s">
        <v>14</v>
      </c>
      <c r="E7" s="55"/>
      <c r="F7" s="55"/>
      <c r="G7" s="53" t="s">
        <v>15</v>
      </c>
      <c r="H7" s="53" t="s">
        <v>16</v>
      </c>
      <c r="I7" s="53" t="s">
        <v>17</v>
      </c>
      <c r="J7" s="53" t="s">
        <v>16</v>
      </c>
      <c r="K7" s="49"/>
      <c r="L7" s="51" t="s">
        <v>18</v>
      </c>
      <c r="M7" s="53" t="s">
        <v>14</v>
      </c>
      <c r="N7" s="55" t="s">
        <v>19</v>
      </c>
      <c r="O7" s="55"/>
      <c r="P7" s="59"/>
      <c r="Q7" s="53" t="s">
        <v>15</v>
      </c>
      <c r="R7" s="53" t="s">
        <v>16</v>
      </c>
      <c r="S7" s="53" t="s">
        <v>17</v>
      </c>
      <c r="T7" s="53" t="s">
        <v>16</v>
      </c>
      <c r="U7" s="64"/>
      <c r="V7" s="49"/>
      <c r="W7" s="59" t="s">
        <v>20</v>
      </c>
      <c r="X7" s="59">
        <v>8</v>
      </c>
      <c r="Y7" s="59">
        <v>2</v>
      </c>
      <c r="Z7" s="59">
        <v>1</v>
      </c>
      <c r="AA7" s="59">
        <f>PRODUCT(X7:Z7)</f>
        <v>16</v>
      </c>
      <c r="AB7" s="49"/>
      <c r="AC7" s="49"/>
      <c r="AD7" s="49"/>
      <c r="AF7" s="86"/>
      <c r="AG7" s="87"/>
    </row>
    <row r="8" spans="1:59">
      <c r="A8" s="49"/>
      <c r="B8" s="71"/>
      <c r="C8" s="51" t="s">
        <v>21</v>
      </c>
      <c r="D8" s="56">
        <v>5.9809999999999999</v>
      </c>
      <c r="E8" s="56"/>
      <c r="F8" s="56"/>
      <c r="G8" s="56">
        <v>22</v>
      </c>
      <c r="H8" s="56">
        <v>35</v>
      </c>
      <c r="I8" s="56">
        <f>ROUND(779.66,-1)</f>
        <v>780</v>
      </c>
      <c r="J8" s="56">
        <v>3.83</v>
      </c>
      <c r="K8" s="49"/>
      <c r="L8" s="51" t="s">
        <v>22</v>
      </c>
      <c r="M8" s="56">
        <v>5.806</v>
      </c>
      <c r="N8" s="56">
        <v>18.077000000000002</v>
      </c>
      <c r="O8" s="56"/>
      <c r="P8" s="56"/>
      <c r="Q8" s="56">
        <v>22</v>
      </c>
      <c r="R8" s="56">
        <v>35</v>
      </c>
      <c r="S8" s="56">
        <f>ROUND(344,-1)</f>
        <v>340</v>
      </c>
      <c r="T8" s="56">
        <v>5.6</v>
      </c>
      <c r="U8" s="64"/>
      <c r="V8" s="49"/>
      <c r="W8" s="59" t="s">
        <v>23</v>
      </c>
      <c r="X8" s="59">
        <v>8</v>
      </c>
      <c r="Y8" s="59">
        <v>2</v>
      </c>
      <c r="Z8" s="85">
        <v>2</v>
      </c>
      <c r="AA8" s="59">
        <f>PRODUCT(X8:Z8)</f>
        <v>32</v>
      </c>
      <c r="AB8" s="49"/>
      <c r="AC8" s="49"/>
      <c r="AD8" s="49"/>
      <c r="AF8" s="86"/>
      <c r="AG8" s="87"/>
    </row>
    <row r="9" spans="1:59" ht="15" customHeight="1">
      <c r="A9" s="49"/>
      <c r="B9" s="71"/>
      <c r="C9" s="51" t="s">
        <v>24</v>
      </c>
      <c r="D9" s="56">
        <v>5.82</v>
      </c>
      <c r="E9" s="56"/>
      <c r="F9" s="56"/>
      <c r="G9" s="56">
        <v>22</v>
      </c>
      <c r="H9" s="56">
        <v>35</v>
      </c>
      <c r="I9" s="56">
        <f>ROUND(755,-1)</f>
        <v>760</v>
      </c>
      <c r="J9" s="56">
        <v>3.12</v>
      </c>
      <c r="K9" s="49"/>
      <c r="L9" s="51" t="s">
        <v>25</v>
      </c>
      <c r="M9" s="56">
        <v>5.67</v>
      </c>
      <c r="N9" s="56">
        <v>19.251999999999999</v>
      </c>
      <c r="O9" s="56"/>
      <c r="P9" s="56"/>
      <c r="Q9" s="56">
        <v>22</v>
      </c>
      <c r="R9" s="56">
        <v>35</v>
      </c>
      <c r="S9" s="56">
        <f>ROUND(435,-1)</f>
        <v>440</v>
      </c>
      <c r="T9" s="56">
        <v>5.43</v>
      </c>
      <c r="U9" s="64"/>
      <c r="V9" s="49"/>
      <c r="W9" s="59" t="s">
        <v>26</v>
      </c>
      <c r="X9" s="59">
        <v>8</v>
      </c>
      <c r="Y9" s="59">
        <v>2</v>
      </c>
      <c r="Z9" s="59">
        <v>2</v>
      </c>
      <c r="AA9" s="59">
        <f>PRODUCT(X9:Z9)</f>
        <v>32</v>
      </c>
      <c r="AB9" s="49"/>
      <c r="AC9" s="49"/>
      <c r="AD9" s="49"/>
      <c r="AF9" s="86"/>
      <c r="AG9" s="87"/>
    </row>
    <row r="10" spans="1:59" ht="15" customHeight="1">
      <c r="A10" s="49"/>
      <c r="B10" s="71"/>
      <c r="C10" s="51" t="s">
        <v>27</v>
      </c>
      <c r="D10" s="56">
        <v>5.8840000000000003</v>
      </c>
      <c r="E10" s="56"/>
      <c r="F10" s="56"/>
      <c r="G10" s="56">
        <v>22</v>
      </c>
      <c r="H10" s="56">
        <v>35</v>
      </c>
      <c r="I10" s="56">
        <f>ROUND(768,-1)</f>
        <v>770</v>
      </c>
      <c r="J10" s="56">
        <v>3.1</v>
      </c>
      <c r="K10" s="49"/>
      <c r="L10" s="51" t="s">
        <v>28</v>
      </c>
      <c r="M10" s="56"/>
      <c r="N10" s="56"/>
      <c r="O10" s="56"/>
      <c r="P10" s="56"/>
      <c r="Q10" s="56"/>
      <c r="R10" s="56"/>
      <c r="S10" s="56"/>
      <c r="T10" s="56"/>
      <c r="U10" s="64"/>
      <c r="V10" s="49"/>
      <c r="W10" s="59" t="s">
        <v>29</v>
      </c>
      <c r="X10" s="59">
        <v>8</v>
      </c>
      <c r="Y10" s="59">
        <v>2</v>
      </c>
      <c r="Z10" s="59">
        <v>1</v>
      </c>
      <c r="AA10" s="59">
        <f>PRODUCT(X10:Z10)</f>
        <v>16</v>
      </c>
      <c r="AB10" s="49"/>
      <c r="AC10" s="49"/>
      <c r="AD10" s="49"/>
      <c r="AF10" s="87"/>
      <c r="AG10" s="87"/>
    </row>
    <row r="11" spans="1:59" ht="15" customHeight="1" thickBot="1">
      <c r="A11" s="49"/>
      <c r="B11" s="71"/>
      <c r="C11" s="51" t="s">
        <v>30</v>
      </c>
      <c r="D11" s="56">
        <v>5.7050000000000001</v>
      </c>
      <c r="E11" s="56"/>
      <c r="F11" s="56"/>
      <c r="G11" s="56">
        <v>22</v>
      </c>
      <c r="H11" s="56">
        <v>35</v>
      </c>
      <c r="I11" s="56">
        <f>ROUND(714,-1)</f>
        <v>710</v>
      </c>
      <c r="J11" s="56">
        <v>2.97</v>
      </c>
      <c r="K11" s="49"/>
      <c r="L11" s="51" t="s">
        <v>31</v>
      </c>
      <c r="M11" s="56">
        <v>5.806</v>
      </c>
      <c r="N11" s="56">
        <v>16.899999999999999</v>
      </c>
      <c r="O11" s="56"/>
      <c r="P11" s="56"/>
      <c r="Q11" s="56">
        <v>22</v>
      </c>
      <c r="R11" s="56">
        <v>35</v>
      </c>
      <c r="S11" s="56">
        <f>ROUND(317,-1)</f>
        <v>320</v>
      </c>
      <c r="T11" s="56">
        <v>6.66</v>
      </c>
      <c r="U11" s="64"/>
      <c r="V11" s="49"/>
      <c r="W11" s="59" t="s">
        <v>32</v>
      </c>
      <c r="X11" s="59">
        <v>8</v>
      </c>
      <c r="Y11" s="59">
        <v>2</v>
      </c>
      <c r="Z11" s="59">
        <v>2</v>
      </c>
      <c r="AA11" s="59">
        <f>PRODUCT(X11:Z11)</f>
        <v>32</v>
      </c>
      <c r="AB11" s="49"/>
      <c r="AC11" s="49"/>
      <c r="AD11" s="49"/>
      <c r="AF11" s="87"/>
      <c r="AG11" s="87"/>
    </row>
    <row r="12" spans="1:59" ht="15" customHeight="1" thickBot="1">
      <c r="A12" s="49"/>
      <c r="B12" s="71"/>
      <c r="C12" s="51" t="s">
        <v>33</v>
      </c>
      <c r="D12" s="56">
        <v>5.8179999999999996</v>
      </c>
      <c r="E12" s="56"/>
      <c r="F12" s="56"/>
      <c r="G12" s="56">
        <v>22</v>
      </c>
      <c r="H12" s="56">
        <v>35</v>
      </c>
      <c r="I12" s="56">
        <f>ROUND(734,-1)</f>
        <v>730</v>
      </c>
      <c r="J12" s="56">
        <v>3.21</v>
      </c>
      <c r="K12" s="49"/>
      <c r="L12" s="51" t="s">
        <v>34</v>
      </c>
      <c r="M12" s="56">
        <v>5.6440000000000001</v>
      </c>
      <c r="N12" s="56">
        <v>17.123999999999999</v>
      </c>
      <c r="O12" s="56"/>
      <c r="P12" s="56"/>
      <c r="Q12" s="56">
        <v>22</v>
      </c>
      <c r="R12" s="56">
        <v>35</v>
      </c>
      <c r="S12" s="56">
        <f>ROUND(466,-1)</f>
        <v>470</v>
      </c>
      <c r="T12" s="56">
        <v>6.14</v>
      </c>
      <c r="U12" s="64"/>
      <c r="V12" s="49"/>
      <c r="W12" s="59" t="s">
        <v>35</v>
      </c>
      <c r="X12" s="59"/>
      <c r="Y12" s="59"/>
      <c r="Z12" s="59"/>
      <c r="AA12" s="59">
        <f>SUM(AA7:AA11)</f>
        <v>128</v>
      </c>
      <c r="AB12" s="49"/>
      <c r="AC12" s="49"/>
      <c r="AD12" s="49"/>
      <c r="BB12" s="98" t="s">
        <v>36</v>
      </c>
      <c r="BC12" s="99"/>
      <c r="BD12" s="99"/>
      <c r="BE12" s="99"/>
      <c r="BF12" s="99"/>
      <c r="BG12" s="100"/>
    </row>
    <row r="13" spans="1:59" ht="15" customHeight="1">
      <c r="A13" s="49"/>
      <c r="B13" s="71"/>
      <c r="C13" s="51" t="s">
        <v>37</v>
      </c>
      <c r="D13" s="56">
        <v>5.7919999999999998</v>
      </c>
      <c r="E13" s="56"/>
      <c r="F13" s="56"/>
      <c r="G13" s="56">
        <v>22</v>
      </c>
      <c r="H13" s="56">
        <v>35</v>
      </c>
      <c r="I13" s="56">
        <f>ROUND(686,-1)</f>
        <v>690</v>
      </c>
      <c r="J13" s="56">
        <v>3.12</v>
      </c>
      <c r="K13" s="49"/>
      <c r="L13" s="51" t="s">
        <v>38</v>
      </c>
      <c r="M13" s="56"/>
      <c r="N13" s="56"/>
      <c r="O13" s="56"/>
      <c r="P13" s="56"/>
      <c r="Q13" s="56"/>
      <c r="R13" s="56"/>
      <c r="S13" s="56"/>
      <c r="T13" s="56"/>
      <c r="U13" s="64"/>
      <c r="V13" s="49"/>
      <c r="W13" s="49"/>
      <c r="X13" s="49"/>
      <c r="Y13" s="49"/>
      <c r="Z13" s="49"/>
      <c r="AA13" s="49"/>
      <c r="AB13" s="49"/>
      <c r="AC13" s="49"/>
      <c r="AD13" s="49"/>
      <c r="BB13" s="35" t="s">
        <v>39</v>
      </c>
      <c r="BC13" s="36"/>
      <c r="BD13" s="36" t="s">
        <v>40</v>
      </c>
      <c r="BE13" s="37" t="s">
        <v>41</v>
      </c>
      <c r="BF13" s="3" t="s">
        <v>42</v>
      </c>
      <c r="BG13" s="4" t="s">
        <v>43</v>
      </c>
    </row>
    <row r="14" spans="1:59" ht="15" customHeight="1">
      <c r="A14" s="49"/>
      <c r="B14" s="71"/>
      <c r="C14" s="51" t="s">
        <v>44</v>
      </c>
      <c r="D14" s="56">
        <v>5.8609999999999998</v>
      </c>
      <c r="E14" s="56"/>
      <c r="F14" s="56"/>
      <c r="G14" s="56">
        <v>22</v>
      </c>
      <c r="H14" s="56">
        <v>35</v>
      </c>
      <c r="I14" s="56">
        <f>ROUND(758,-1)</f>
        <v>760</v>
      </c>
      <c r="J14" s="56">
        <v>3.31</v>
      </c>
      <c r="K14" s="49"/>
      <c r="L14" s="51" t="s">
        <v>45</v>
      </c>
      <c r="M14" s="56">
        <v>5.6849999999999996</v>
      </c>
      <c r="N14" s="56">
        <v>17.242000000000001</v>
      </c>
      <c r="O14" s="56"/>
      <c r="P14" s="56"/>
      <c r="Q14" s="56">
        <v>22</v>
      </c>
      <c r="R14" s="56">
        <v>35</v>
      </c>
      <c r="S14" s="56">
        <f>ROUND(374,-1)</f>
        <v>370</v>
      </c>
      <c r="T14" s="56">
        <v>5.87</v>
      </c>
      <c r="U14" s="64"/>
      <c r="V14" s="49"/>
      <c r="W14" s="49"/>
      <c r="X14" s="49"/>
      <c r="Y14" s="49"/>
      <c r="Z14" s="49"/>
      <c r="AA14" s="49"/>
      <c r="AB14" s="49"/>
      <c r="AC14" s="49"/>
      <c r="AD14" s="49"/>
      <c r="BB14" s="38" t="s">
        <v>46</v>
      </c>
      <c r="BC14" s="39" t="s">
        <v>47</v>
      </c>
      <c r="BD14" s="39" t="s">
        <v>48</v>
      </c>
      <c r="BE14" s="40" t="s">
        <v>49</v>
      </c>
      <c r="BF14" s="31">
        <f>2*53.6</f>
        <v>107.2</v>
      </c>
      <c r="BG14" s="5" t="s">
        <v>50</v>
      </c>
    </row>
    <row r="15" spans="1:59" ht="15" customHeight="1">
      <c r="A15" s="49"/>
      <c r="B15" s="71"/>
      <c r="C15" s="51" t="s">
        <v>51</v>
      </c>
      <c r="D15" s="56">
        <v>5.7789999999999999</v>
      </c>
      <c r="E15" s="56"/>
      <c r="F15" s="56"/>
      <c r="G15" s="56">
        <v>22</v>
      </c>
      <c r="H15" s="56">
        <v>35</v>
      </c>
      <c r="I15" s="56">
        <f>ROUND(718,-1)</f>
        <v>720</v>
      </c>
      <c r="J15" s="56">
        <v>3.67</v>
      </c>
      <c r="K15" s="49"/>
      <c r="L15" s="51" t="s">
        <v>52</v>
      </c>
      <c r="M15" s="56">
        <v>5.8159999999999998</v>
      </c>
      <c r="N15" s="56">
        <v>17.696999999999999</v>
      </c>
      <c r="O15" s="56"/>
      <c r="P15" s="56"/>
      <c r="Q15" s="56">
        <v>22</v>
      </c>
      <c r="R15" s="56">
        <v>35</v>
      </c>
      <c r="S15" s="56">
        <f>ROUND(360,-1)</f>
        <v>360</v>
      </c>
      <c r="T15" s="56">
        <v>6.79</v>
      </c>
      <c r="U15" s="64"/>
      <c r="V15" s="49"/>
      <c r="W15" s="49"/>
      <c r="X15" s="49"/>
      <c r="Y15" s="49"/>
      <c r="Z15" s="49"/>
      <c r="AA15" s="49"/>
      <c r="AB15" s="49"/>
      <c r="AC15" s="49"/>
      <c r="AD15" s="49"/>
      <c r="BB15" s="38" t="s">
        <v>53</v>
      </c>
      <c r="BC15" s="39" t="s">
        <v>54</v>
      </c>
      <c r="BD15" s="39" t="s">
        <v>55</v>
      </c>
      <c r="BE15" s="40" t="s">
        <v>56</v>
      </c>
      <c r="BF15" s="31">
        <v>115</v>
      </c>
      <c r="BG15" s="30" t="s">
        <v>57</v>
      </c>
    </row>
    <row r="16" spans="1:59" ht="18">
      <c r="A16" s="49"/>
      <c r="B16" s="71"/>
      <c r="C16" s="51" t="s">
        <v>58</v>
      </c>
      <c r="D16" s="58">
        <f>SUM(D8:D15)/COUNT(D8:D15)</f>
        <v>5.83</v>
      </c>
      <c r="E16" s="58"/>
      <c r="F16" s="58"/>
      <c r="G16" s="58">
        <f t="shared" ref="G16:H16" si="0">SUM(G8:G15)/COUNT(G8:G15)</f>
        <v>22</v>
      </c>
      <c r="H16" s="58">
        <f t="shared" si="0"/>
        <v>35</v>
      </c>
      <c r="I16" s="58">
        <f>ROUND(SUM(I8:I15)/COUNT(I8:I15), -1)</f>
        <v>740</v>
      </c>
      <c r="J16" s="58">
        <f>ROUND(SUM(J8:J15)/COUNT(J8:J15), 2)</f>
        <v>3.29</v>
      </c>
      <c r="K16" s="49"/>
      <c r="L16" s="51" t="s">
        <v>58</v>
      </c>
      <c r="M16" s="58">
        <f>ROUND(SUM(M8:M15)/COUNT(M8:M15), 2)</f>
        <v>5.74</v>
      </c>
      <c r="N16" s="58">
        <f>ROUND(SUM(N8:N15)/COUNT(N8:N15), 2)</f>
        <v>17.72</v>
      </c>
      <c r="O16" s="58"/>
      <c r="P16" s="58"/>
      <c r="Q16" s="58">
        <f t="shared" ref="Q16" si="1">SUM(Q8:Q15)/COUNT(Q8:Q15)</f>
        <v>22</v>
      </c>
      <c r="R16" s="58">
        <f t="shared" ref="R16" si="2">SUM(R8:R15)/COUNT(R8:R15)</f>
        <v>35</v>
      </c>
      <c r="S16" s="58">
        <f>ROUND(SUM(S8:S15)/COUNT(S8:S15), -1)</f>
        <v>380</v>
      </c>
      <c r="T16" s="58">
        <f>ROUND(SUM(T8:T15)/COUNT(T8:T15), 2)</f>
        <v>6.08</v>
      </c>
      <c r="U16" s="64"/>
      <c r="V16" s="49"/>
      <c r="W16" s="49"/>
      <c r="X16" s="49"/>
      <c r="Y16" s="49"/>
      <c r="Z16" s="49"/>
      <c r="AA16" s="49"/>
      <c r="AB16" s="49"/>
      <c r="AC16" s="49"/>
      <c r="AD16" s="49"/>
      <c r="BB16" s="38" t="s">
        <v>59</v>
      </c>
      <c r="BC16" s="39" t="s">
        <v>60</v>
      </c>
      <c r="BD16" s="39" t="s">
        <v>61</v>
      </c>
      <c r="BE16" s="40" t="s">
        <v>62</v>
      </c>
      <c r="BF16" s="31">
        <v>75.3</v>
      </c>
      <c r="BG16" s="30" t="s">
        <v>63</v>
      </c>
    </row>
    <row r="17" spans="1:61" ht="18">
      <c r="A17" s="49"/>
      <c r="B17" s="71"/>
      <c r="C17" s="71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64"/>
      <c r="U17" s="64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104" t="s">
        <v>64</v>
      </c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BB17" s="38" t="s">
        <v>65</v>
      </c>
      <c r="BC17" s="39" t="s">
        <v>66</v>
      </c>
      <c r="BD17" s="39" t="s">
        <v>67</v>
      </c>
      <c r="BE17" s="40" t="s">
        <v>56</v>
      </c>
      <c r="BF17" s="31">
        <v>32.5</v>
      </c>
      <c r="BG17" s="34" t="s">
        <v>68</v>
      </c>
    </row>
    <row r="18" spans="1:61" ht="18">
      <c r="A18" s="49"/>
      <c r="B18" s="71"/>
      <c r="C18" s="71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64"/>
      <c r="U18" s="64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BB18" s="41" t="s">
        <v>69</v>
      </c>
      <c r="BC18" s="42" t="s">
        <v>70</v>
      </c>
      <c r="BD18" s="42" t="s">
        <v>71</v>
      </c>
      <c r="BE18" s="43" t="s">
        <v>72</v>
      </c>
      <c r="BF18" s="31">
        <v>102</v>
      </c>
      <c r="BG18" s="34" t="s">
        <v>73</v>
      </c>
    </row>
    <row r="19" spans="1:61" ht="16.5" customHeight="1">
      <c r="A19" s="49"/>
      <c r="B19" s="71"/>
      <c r="C19" s="101" t="s">
        <v>74</v>
      </c>
      <c r="D19" s="102"/>
      <c r="E19" s="102"/>
      <c r="F19" s="102"/>
      <c r="G19" s="102"/>
      <c r="H19" s="102"/>
      <c r="I19" s="102"/>
      <c r="J19" s="103"/>
      <c r="K19" s="49"/>
      <c r="L19" s="101" t="s">
        <v>74</v>
      </c>
      <c r="M19" s="102"/>
      <c r="N19" s="102"/>
      <c r="O19" s="102"/>
      <c r="P19" s="102"/>
      <c r="Q19" s="102"/>
      <c r="R19" s="102"/>
      <c r="S19" s="102"/>
      <c r="T19" s="103"/>
      <c r="U19" s="64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101" t="s">
        <v>74</v>
      </c>
      <c r="AG19" s="102"/>
      <c r="AH19" s="102"/>
      <c r="AI19" s="102"/>
      <c r="AJ19" s="102"/>
      <c r="AK19" s="102"/>
      <c r="AL19" s="102"/>
      <c r="AM19" s="103"/>
      <c r="AN19" s="74"/>
      <c r="AO19" s="101" t="s">
        <v>74</v>
      </c>
      <c r="AP19" s="102"/>
      <c r="AQ19" s="102"/>
      <c r="AR19" s="102"/>
      <c r="AS19" s="102"/>
      <c r="AT19" s="102"/>
      <c r="AU19" s="102"/>
      <c r="AV19" s="102"/>
      <c r="AW19" s="103"/>
    </row>
    <row r="20" spans="1:61" ht="16.5" customHeight="1">
      <c r="A20" s="49"/>
      <c r="B20" s="71"/>
      <c r="C20" s="52"/>
      <c r="D20" s="91" t="s">
        <v>3</v>
      </c>
      <c r="E20" s="92"/>
      <c r="F20" s="93"/>
      <c r="G20" s="51" t="s">
        <v>4</v>
      </c>
      <c r="H20" s="52" t="s">
        <v>5</v>
      </c>
      <c r="I20" s="52" t="s">
        <v>6</v>
      </c>
      <c r="J20" s="52" t="s">
        <v>7</v>
      </c>
      <c r="K20" s="49"/>
      <c r="L20" s="51"/>
      <c r="M20" s="88" t="s">
        <v>3</v>
      </c>
      <c r="N20" s="88"/>
      <c r="O20" s="88"/>
      <c r="P20" s="88"/>
      <c r="Q20" s="51" t="s">
        <v>4</v>
      </c>
      <c r="R20" s="52" t="s">
        <v>5</v>
      </c>
      <c r="S20" s="52" t="s">
        <v>6</v>
      </c>
      <c r="T20" s="52" t="s">
        <v>7</v>
      </c>
      <c r="U20" s="64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52"/>
      <c r="AG20" s="91" t="s">
        <v>3</v>
      </c>
      <c r="AH20" s="92"/>
      <c r="AI20" s="93"/>
      <c r="AJ20" s="51" t="s">
        <v>4</v>
      </c>
      <c r="AK20" s="52" t="s">
        <v>5</v>
      </c>
      <c r="AL20" s="52" t="s">
        <v>6</v>
      </c>
      <c r="AM20" s="52" t="s">
        <v>7</v>
      </c>
      <c r="AN20" s="49"/>
      <c r="AO20" s="51"/>
      <c r="AP20" s="88" t="s">
        <v>3</v>
      </c>
      <c r="AQ20" s="88"/>
      <c r="AR20" s="88"/>
      <c r="AS20" s="88"/>
      <c r="AT20" s="51" t="s">
        <v>4</v>
      </c>
      <c r="AU20" s="52" t="s">
        <v>5</v>
      </c>
      <c r="AV20" s="52" t="s">
        <v>6</v>
      </c>
      <c r="AW20" s="52" t="s">
        <v>7</v>
      </c>
      <c r="BB20" s="25" t="s">
        <v>75</v>
      </c>
      <c r="BC20" s="26" t="s">
        <v>76</v>
      </c>
      <c r="BD20" s="26" t="s">
        <v>77</v>
      </c>
      <c r="BE20" s="32" t="s">
        <v>78</v>
      </c>
      <c r="BF20" s="32">
        <v>87.5</v>
      </c>
      <c r="BG20" s="27" t="s">
        <v>79</v>
      </c>
    </row>
    <row r="21" spans="1:61" ht="48.75" customHeight="1">
      <c r="A21" s="49"/>
      <c r="B21" s="71"/>
      <c r="C21" s="51" t="s">
        <v>13</v>
      </c>
      <c r="D21" s="53" t="s">
        <v>14</v>
      </c>
      <c r="E21" s="53" t="s">
        <v>80</v>
      </c>
      <c r="F21" s="55"/>
      <c r="G21" s="53" t="s">
        <v>15</v>
      </c>
      <c r="H21" s="53" t="s">
        <v>16</v>
      </c>
      <c r="I21" s="53" t="s">
        <v>17</v>
      </c>
      <c r="J21" s="53" t="s">
        <v>16</v>
      </c>
      <c r="K21" s="49"/>
      <c r="L21" s="51" t="s">
        <v>18</v>
      </c>
      <c r="M21" s="53" t="s">
        <v>14</v>
      </c>
      <c r="N21" s="53" t="s">
        <v>80</v>
      </c>
      <c r="O21" s="51" t="s">
        <v>19</v>
      </c>
      <c r="P21" s="59"/>
      <c r="Q21" s="53" t="s">
        <v>15</v>
      </c>
      <c r="R21" s="53" t="s">
        <v>16</v>
      </c>
      <c r="S21" s="53" t="s">
        <v>17</v>
      </c>
      <c r="T21" s="53" t="s">
        <v>16</v>
      </c>
      <c r="U21" s="64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51" t="s">
        <v>13</v>
      </c>
      <c r="AG21" s="53" t="s">
        <v>14</v>
      </c>
      <c r="AH21" s="53" t="s">
        <v>80</v>
      </c>
      <c r="AI21" s="55"/>
      <c r="AJ21" s="53" t="s">
        <v>15</v>
      </c>
      <c r="AK21" s="53" t="s">
        <v>16</v>
      </c>
      <c r="AL21" s="53" t="s">
        <v>17</v>
      </c>
      <c r="AM21" s="53" t="s">
        <v>16</v>
      </c>
      <c r="AN21" s="49"/>
      <c r="AO21" s="51" t="s">
        <v>18</v>
      </c>
      <c r="AP21" s="53" t="s">
        <v>14</v>
      </c>
      <c r="AQ21" s="53" t="s">
        <v>80</v>
      </c>
      <c r="AR21" s="51" t="s">
        <v>19</v>
      </c>
      <c r="AS21" s="59"/>
      <c r="AT21" s="53" t="s">
        <v>15</v>
      </c>
      <c r="AU21" s="53" t="s">
        <v>16</v>
      </c>
      <c r="AV21" s="53" t="s">
        <v>17</v>
      </c>
      <c r="AW21" s="53" t="s">
        <v>16</v>
      </c>
      <c r="BB21" s="25"/>
      <c r="BC21" s="26"/>
      <c r="BD21" s="26"/>
      <c r="BE21" s="32"/>
      <c r="BF21" s="32"/>
      <c r="BG21" s="48"/>
    </row>
    <row r="22" spans="1:61" ht="15" customHeight="1">
      <c r="A22" s="49"/>
      <c r="B22" s="71"/>
      <c r="C22" s="51" t="s">
        <v>81</v>
      </c>
      <c r="D22" s="56"/>
      <c r="E22" s="56"/>
      <c r="F22" s="56"/>
      <c r="G22" s="56"/>
      <c r="H22" s="56"/>
      <c r="I22" s="56"/>
      <c r="J22" s="56"/>
      <c r="K22" s="49"/>
      <c r="L22" s="51" t="s">
        <v>82</v>
      </c>
      <c r="M22" s="56">
        <v>5.6680000000000001</v>
      </c>
      <c r="N22" s="56">
        <v>5.258</v>
      </c>
      <c r="O22" s="56">
        <v>18.574999999999999</v>
      </c>
      <c r="P22" s="56"/>
      <c r="Q22" s="56">
        <v>22</v>
      </c>
      <c r="R22" s="56">
        <v>35</v>
      </c>
      <c r="S22" s="56">
        <f>ROUND(598,-1)</f>
        <v>600</v>
      </c>
      <c r="T22" s="56">
        <v>5.7</v>
      </c>
      <c r="U22" s="64"/>
      <c r="V22" s="49"/>
      <c r="W22" s="49"/>
      <c r="X22" s="49"/>
      <c r="Y22" s="49"/>
      <c r="Z22" s="49"/>
      <c r="AA22" s="49"/>
      <c r="AB22" s="49"/>
      <c r="AC22" s="49"/>
      <c r="AD22" s="76"/>
      <c r="AE22" s="76"/>
      <c r="AF22" s="51" t="s">
        <v>83</v>
      </c>
      <c r="AG22" s="56">
        <v>5.84</v>
      </c>
      <c r="AH22" s="56">
        <v>6.165</v>
      </c>
      <c r="AI22" s="56"/>
      <c r="AJ22" s="56">
        <v>22</v>
      </c>
      <c r="AK22" s="56">
        <v>35</v>
      </c>
      <c r="AL22" s="56">
        <f>ROUND(484.6,-1)</f>
        <v>480</v>
      </c>
      <c r="AM22" s="56">
        <v>5.65</v>
      </c>
      <c r="AN22" s="49"/>
      <c r="AO22" s="51" t="s">
        <v>84</v>
      </c>
      <c r="AP22" s="56">
        <v>5.7370000000000001</v>
      </c>
      <c r="AQ22" s="56">
        <v>5.9939999999999998</v>
      </c>
      <c r="AR22" s="56">
        <v>18.574999999999999</v>
      </c>
      <c r="AS22" s="56"/>
      <c r="AT22" s="56">
        <v>22</v>
      </c>
      <c r="AU22" s="56">
        <v>35</v>
      </c>
      <c r="AV22" s="56">
        <f>ROUND(395,-1)</f>
        <v>400</v>
      </c>
      <c r="AW22" s="56">
        <v>5.56</v>
      </c>
      <c r="BB22" s="28" t="s">
        <v>85</v>
      </c>
      <c r="BC22" s="33" t="s">
        <v>86</v>
      </c>
      <c r="BD22" s="29" t="s">
        <v>87</v>
      </c>
      <c r="BE22" s="31" t="s">
        <v>88</v>
      </c>
      <c r="BF22" s="31">
        <v>403</v>
      </c>
      <c r="BG22" s="29" t="s">
        <v>89</v>
      </c>
    </row>
    <row r="23" spans="1:61">
      <c r="A23" s="49"/>
      <c r="B23" s="71"/>
      <c r="C23" s="51" t="s">
        <v>90</v>
      </c>
      <c r="D23" s="56">
        <v>5.3719999999999999</v>
      </c>
      <c r="E23" s="56">
        <v>5.101</v>
      </c>
      <c r="F23" s="56"/>
      <c r="G23" s="56">
        <v>22</v>
      </c>
      <c r="H23" s="56">
        <v>35</v>
      </c>
      <c r="I23" s="56">
        <f>ROUND(525,-1)</f>
        <v>530</v>
      </c>
      <c r="J23" s="56">
        <v>4.7300000000000004</v>
      </c>
      <c r="K23" s="49"/>
      <c r="L23" s="51" t="s">
        <v>91</v>
      </c>
      <c r="M23" s="56">
        <v>5.625</v>
      </c>
      <c r="N23" s="56">
        <v>5.2949999999999999</v>
      </c>
      <c r="O23" s="56">
        <v>17.181999999999999</v>
      </c>
      <c r="P23" s="56"/>
      <c r="Q23" s="56">
        <v>22</v>
      </c>
      <c r="R23" s="56">
        <v>35</v>
      </c>
      <c r="S23" s="56">
        <f>ROUND(635,-1)</f>
        <v>640</v>
      </c>
      <c r="T23" s="56">
        <v>4.8600000000000003</v>
      </c>
      <c r="U23" s="64"/>
      <c r="V23" s="49"/>
      <c r="W23" s="49"/>
      <c r="X23" s="49"/>
      <c r="Y23" s="49"/>
      <c r="Z23" s="49"/>
      <c r="AA23" s="49"/>
      <c r="AB23" s="49"/>
      <c r="AC23" s="49"/>
      <c r="AD23" s="76"/>
      <c r="AE23" s="76"/>
      <c r="AF23" s="51" t="s">
        <v>92</v>
      </c>
      <c r="AG23" s="56">
        <v>5.8949999999999996</v>
      </c>
      <c r="AH23" s="56">
        <v>6.3</v>
      </c>
      <c r="AI23" s="56"/>
      <c r="AJ23" s="56">
        <v>22</v>
      </c>
      <c r="AK23" s="56">
        <v>35</v>
      </c>
      <c r="AL23" s="56">
        <f>ROUND(531,-1)</f>
        <v>530</v>
      </c>
      <c r="AM23" s="56">
        <v>4.91</v>
      </c>
      <c r="AN23" s="49"/>
      <c r="AO23" s="51" t="s">
        <v>93</v>
      </c>
      <c r="AP23" s="56">
        <v>5.49</v>
      </c>
      <c r="AQ23" s="56">
        <v>5.5110000000000001</v>
      </c>
      <c r="AR23" s="56">
        <v>17.181999999999999</v>
      </c>
      <c r="AS23" s="56"/>
      <c r="AT23" s="56">
        <v>22</v>
      </c>
      <c r="AU23" s="56">
        <v>35</v>
      </c>
      <c r="AV23" s="56">
        <f>ROUND(255,-1)</f>
        <v>260</v>
      </c>
      <c r="AW23" s="56">
        <v>6.52</v>
      </c>
      <c r="BB23" s="25" t="s">
        <v>94</v>
      </c>
      <c r="BC23" s="26" t="s">
        <v>95</v>
      </c>
      <c r="BD23" s="26" t="s">
        <v>96</v>
      </c>
      <c r="BE23" s="32"/>
      <c r="BF23" s="32"/>
      <c r="BG23" s="27" t="s">
        <v>97</v>
      </c>
    </row>
    <row r="24" spans="1:61">
      <c r="A24" s="49"/>
      <c r="B24" s="71"/>
      <c r="C24" s="51" t="s">
        <v>98</v>
      </c>
      <c r="D24" s="56">
        <v>5.5069999999999997</v>
      </c>
      <c r="E24" s="56">
        <v>5.27</v>
      </c>
      <c r="F24" s="56"/>
      <c r="G24" s="56">
        <v>22</v>
      </c>
      <c r="H24" s="56">
        <v>35</v>
      </c>
      <c r="I24" s="56">
        <f>ROUND(439,-1)</f>
        <v>440</v>
      </c>
      <c r="J24" s="56">
        <v>4.8499999999999996</v>
      </c>
      <c r="K24" s="49"/>
      <c r="L24" s="51" t="s">
        <v>99</v>
      </c>
      <c r="M24" s="56">
        <v>5.6920000000000002</v>
      </c>
      <c r="N24" s="56">
        <v>5.3120000000000003</v>
      </c>
      <c r="O24" s="56">
        <v>16.579999999999998</v>
      </c>
      <c r="P24" s="56"/>
      <c r="Q24" s="56">
        <v>22</v>
      </c>
      <c r="R24" s="56">
        <v>35</v>
      </c>
      <c r="S24" s="56">
        <f>ROUND(760,-1)</f>
        <v>760</v>
      </c>
      <c r="T24" s="56">
        <v>5.09</v>
      </c>
      <c r="U24" s="64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51" t="s">
        <v>100</v>
      </c>
      <c r="AG24" s="56">
        <v>5.7350000000000003</v>
      </c>
      <c r="AH24" s="56">
        <v>6.1050000000000004</v>
      </c>
      <c r="AI24" s="56"/>
      <c r="AJ24" s="56">
        <v>22</v>
      </c>
      <c r="AK24" s="56">
        <v>35</v>
      </c>
      <c r="AL24" s="56">
        <f>ROUND(650,-1)</f>
        <v>650</v>
      </c>
      <c r="AM24" s="56">
        <v>4.83</v>
      </c>
      <c r="AN24" s="49"/>
      <c r="AO24" s="51" t="s">
        <v>101</v>
      </c>
      <c r="AP24" s="56">
        <v>5.3220000000000001</v>
      </c>
      <c r="AQ24" s="56">
        <v>5.3449999999999998</v>
      </c>
      <c r="AR24" s="56">
        <v>16.579999999999998</v>
      </c>
      <c r="AS24" s="56"/>
      <c r="AT24" s="56">
        <v>22</v>
      </c>
      <c r="AU24" s="56">
        <v>35</v>
      </c>
      <c r="AV24" s="56">
        <f>ROUND(316,-1)</f>
        <v>320</v>
      </c>
      <c r="AW24" s="56">
        <v>5.13</v>
      </c>
      <c r="BF24">
        <f>SUM(BF14:BF23)</f>
        <v>922.5</v>
      </c>
    </row>
    <row r="25" spans="1:61" ht="15.75" thickBot="1">
      <c r="A25" s="49"/>
      <c r="B25" s="71"/>
      <c r="C25" s="51" t="s">
        <v>102</v>
      </c>
      <c r="D25" s="56">
        <v>5.8250000000000002</v>
      </c>
      <c r="E25" s="56">
        <v>5.45</v>
      </c>
      <c r="F25" s="56"/>
      <c r="G25" s="56">
        <v>22</v>
      </c>
      <c r="H25" s="56">
        <v>35</v>
      </c>
      <c r="I25" s="56">
        <f>ROUND(598,-1)</f>
        <v>600</v>
      </c>
      <c r="J25" s="56">
        <v>4.45</v>
      </c>
      <c r="K25" s="49"/>
      <c r="L25" s="51" t="s">
        <v>103</v>
      </c>
      <c r="M25" s="56">
        <v>5.7510000000000003</v>
      </c>
      <c r="N25" s="56">
        <v>5.4219999999999997</v>
      </c>
      <c r="O25" s="56">
        <v>16.613</v>
      </c>
      <c r="P25" s="56"/>
      <c r="Q25" s="56">
        <v>22</v>
      </c>
      <c r="R25" s="56">
        <v>35</v>
      </c>
      <c r="S25" s="56">
        <f>ROUND(765,-1)</f>
        <v>770</v>
      </c>
      <c r="T25" s="56">
        <v>4.95</v>
      </c>
      <c r="U25" s="64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51" t="s">
        <v>104</v>
      </c>
      <c r="AG25" s="56">
        <v>5.7949999999999999</v>
      </c>
      <c r="AH25" s="56">
        <v>6.1669999999999998</v>
      </c>
      <c r="AI25" s="56"/>
      <c r="AJ25" s="56">
        <v>22</v>
      </c>
      <c r="AK25" s="56">
        <v>35</v>
      </c>
      <c r="AL25" s="56">
        <f>ROUND(484,-1)</f>
        <v>480</v>
      </c>
      <c r="AM25" s="56">
        <v>4.71</v>
      </c>
      <c r="AN25" s="49"/>
      <c r="AO25" s="51" t="s">
        <v>105</v>
      </c>
      <c r="AP25" s="56">
        <v>5.407</v>
      </c>
      <c r="AQ25" s="56">
        <v>5.4740000000000002</v>
      </c>
      <c r="AR25" s="56">
        <v>16.613</v>
      </c>
      <c r="AS25" s="56"/>
      <c r="AT25" s="56">
        <v>22</v>
      </c>
      <c r="AU25" s="56">
        <v>35</v>
      </c>
      <c r="AV25" s="56">
        <f>ROUND(323,-1)</f>
        <v>320</v>
      </c>
      <c r="AW25" s="56">
        <v>5.16</v>
      </c>
    </row>
    <row r="26" spans="1:61" ht="14.25" customHeight="1" thickBot="1">
      <c r="A26" s="49"/>
      <c r="B26" s="71"/>
      <c r="C26" s="51" t="s">
        <v>106</v>
      </c>
      <c r="D26" s="56">
        <v>5.82</v>
      </c>
      <c r="E26" s="56">
        <v>5.4950000000000001</v>
      </c>
      <c r="F26" s="56"/>
      <c r="G26" s="56">
        <v>22</v>
      </c>
      <c r="H26" s="56">
        <v>35</v>
      </c>
      <c r="I26" s="56">
        <f>ROUND(513,-1)</f>
        <v>510</v>
      </c>
      <c r="J26" s="56">
        <v>6.4</v>
      </c>
      <c r="K26" s="49"/>
      <c r="L26" s="51" t="s">
        <v>107</v>
      </c>
      <c r="M26" s="56">
        <v>5.9720000000000004</v>
      </c>
      <c r="N26" s="56">
        <v>5.6</v>
      </c>
      <c r="O26" s="56">
        <v>17.681000000000001</v>
      </c>
      <c r="P26" s="56"/>
      <c r="Q26" s="56">
        <v>22</v>
      </c>
      <c r="R26" s="56">
        <v>35</v>
      </c>
      <c r="S26" s="56">
        <f>ROUND(556,-1)</f>
        <v>560</v>
      </c>
      <c r="T26" s="56">
        <v>5.16</v>
      </c>
      <c r="U26" s="64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51" t="s">
        <v>108</v>
      </c>
      <c r="AG26" s="56">
        <v>5.7</v>
      </c>
      <c r="AH26" s="56">
        <v>5.9770000000000003</v>
      </c>
      <c r="AI26" s="56"/>
      <c r="AJ26" s="56">
        <v>22</v>
      </c>
      <c r="AK26" s="56">
        <v>35</v>
      </c>
      <c r="AL26" s="56">
        <f>ROUND(497,-1)</f>
        <v>500</v>
      </c>
      <c r="AM26" s="56">
        <v>4.7699999999999996</v>
      </c>
      <c r="AN26" s="49"/>
      <c r="AO26" s="51" t="s">
        <v>109</v>
      </c>
      <c r="AP26" s="56">
        <v>5.5579999999999998</v>
      </c>
      <c r="AQ26" s="56">
        <v>5.5910000000000002</v>
      </c>
      <c r="AR26" s="56">
        <v>17.681000000000001</v>
      </c>
      <c r="AS26" s="56"/>
      <c r="AT26" s="56">
        <v>22</v>
      </c>
      <c r="AU26" s="56">
        <v>35</v>
      </c>
      <c r="AV26" s="56">
        <f>ROUND(260,-1)</f>
        <v>260</v>
      </c>
      <c r="AW26" s="56">
        <v>6.14</v>
      </c>
      <c r="BB26" s="95" t="s">
        <v>110</v>
      </c>
      <c r="BC26" s="96"/>
      <c r="BD26" s="96"/>
      <c r="BE26" s="96"/>
      <c r="BF26" s="97"/>
      <c r="BG26" s="8"/>
    </row>
    <row r="27" spans="1:61" ht="14.25" hidden="1" customHeight="1" thickBot="1">
      <c r="A27" s="49"/>
      <c r="B27" s="71"/>
      <c r="C27" s="51" t="s">
        <v>111</v>
      </c>
      <c r="D27" s="56">
        <v>5.78</v>
      </c>
      <c r="E27" s="56">
        <v>5.4050000000000002</v>
      </c>
      <c r="F27" s="56"/>
      <c r="G27" s="56">
        <v>22</v>
      </c>
      <c r="H27" s="56">
        <v>35</v>
      </c>
      <c r="I27" s="56">
        <f>ROUND(636,-1)</f>
        <v>640</v>
      </c>
      <c r="J27" s="56">
        <v>7.01</v>
      </c>
      <c r="K27" s="49"/>
      <c r="L27" s="51" t="s">
        <v>112</v>
      </c>
      <c r="M27" s="56">
        <v>5.9509999999999996</v>
      </c>
      <c r="N27" s="56">
        <v>5.5780000000000003</v>
      </c>
      <c r="O27" s="56">
        <v>17.193000000000001</v>
      </c>
      <c r="P27" s="56"/>
      <c r="Q27" s="56">
        <v>22</v>
      </c>
      <c r="R27" s="56">
        <v>35</v>
      </c>
      <c r="S27" s="56">
        <f>ROUND(731,-1)</f>
        <v>730</v>
      </c>
      <c r="T27" s="56">
        <v>4.6100000000000003</v>
      </c>
      <c r="U27" s="64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51" t="s">
        <v>113</v>
      </c>
      <c r="AG27" s="56">
        <v>5.7629999999999999</v>
      </c>
      <c r="AH27" s="56">
        <v>5.9530000000000003</v>
      </c>
      <c r="AI27" s="56"/>
      <c r="AJ27" s="56">
        <v>22</v>
      </c>
      <c r="AK27" s="56">
        <v>35</v>
      </c>
      <c r="AL27" s="56">
        <f>ROUND(527,-1)</f>
        <v>530</v>
      </c>
      <c r="AM27" s="56">
        <v>4.34</v>
      </c>
      <c r="AN27" s="49"/>
      <c r="AO27" s="51" t="s">
        <v>114</v>
      </c>
      <c r="AP27" s="56"/>
      <c r="AQ27" s="56"/>
      <c r="AR27" s="56"/>
      <c r="AS27" s="56"/>
      <c r="AT27" s="56"/>
      <c r="AU27" s="56"/>
      <c r="AV27" s="56"/>
      <c r="AW27" s="56"/>
      <c r="BB27" s="9" t="s">
        <v>115</v>
      </c>
      <c r="BC27" s="10" t="s">
        <v>39</v>
      </c>
      <c r="BD27" s="11">
        <v>0.05</v>
      </c>
      <c r="BE27" s="11"/>
      <c r="BF27" s="12" t="s">
        <v>116</v>
      </c>
      <c r="BH27" s="11">
        <v>0.05</v>
      </c>
    </row>
    <row r="28" spans="1:61" ht="14.25" customHeight="1">
      <c r="A28" s="49"/>
      <c r="B28" s="71"/>
      <c r="C28" s="51" t="s">
        <v>117</v>
      </c>
      <c r="D28" s="56">
        <v>5.7009999999999996</v>
      </c>
      <c r="E28" s="56">
        <v>5.39</v>
      </c>
      <c r="F28" s="56"/>
      <c r="G28" s="56">
        <v>22</v>
      </c>
      <c r="H28" s="56">
        <v>35</v>
      </c>
      <c r="I28" s="56">
        <f>ROUND(807,-1)</f>
        <v>810</v>
      </c>
      <c r="J28" s="56">
        <v>4.79</v>
      </c>
      <c r="K28" s="49"/>
      <c r="L28" s="51" t="s">
        <v>118</v>
      </c>
      <c r="M28" s="56">
        <v>5.9980000000000002</v>
      </c>
      <c r="N28" s="56">
        <v>5.63</v>
      </c>
      <c r="O28" s="56">
        <v>16.602</v>
      </c>
      <c r="P28" s="56"/>
      <c r="Q28" s="56">
        <v>22</v>
      </c>
      <c r="R28" s="56">
        <v>35</v>
      </c>
      <c r="S28" s="56">
        <f>ROUND(767,-1)</f>
        <v>770</v>
      </c>
      <c r="T28" s="56">
        <v>5.86</v>
      </c>
      <c r="U28" s="64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51" t="s">
        <v>119</v>
      </c>
      <c r="AG28" s="56">
        <v>5.75</v>
      </c>
      <c r="AH28" s="56">
        <v>5.9530000000000003</v>
      </c>
      <c r="AI28" s="56"/>
      <c r="AJ28" s="56">
        <v>22</v>
      </c>
      <c r="AK28" s="56">
        <v>35</v>
      </c>
      <c r="AL28" s="56">
        <f>ROUND(399,-1)</f>
        <v>400</v>
      </c>
      <c r="AM28" s="56">
        <v>5.38</v>
      </c>
      <c r="AN28" s="49"/>
      <c r="AO28" s="51" t="s">
        <v>120</v>
      </c>
      <c r="AP28" s="56">
        <v>5.52</v>
      </c>
      <c r="AQ28" s="56">
        <v>5.492</v>
      </c>
      <c r="AR28" s="56">
        <v>16.602</v>
      </c>
      <c r="AS28" s="56"/>
      <c r="AT28" s="56">
        <v>22</v>
      </c>
      <c r="AU28" s="56">
        <v>35</v>
      </c>
      <c r="AV28" s="56">
        <f>ROUND(327,-1)</f>
        <v>330</v>
      </c>
      <c r="AW28" s="56">
        <v>4.82</v>
      </c>
      <c r="BA28" s="105" t="s">
        <v>121</v>
      </c>
      <c r="BB28" s="13" t="s">
        <v>122</v>
      </c>
      <c r="BC28" s="14"/>
      <c r="BD28" s="46">
        <f>SUM(D22:D29,M22:M29,M36:M43,D36:D43,D50:D57,M50:M57)*10</f>
        <v>2727.4599999999991</v>
      </c>
      <c r="BE28" s="47">
        <f>SUM(AG22:AG29,AP22:AP29,AP36:AP43,AG36:AG43,AG50:AG57,AP50:AP57)*10</f>
        <v>2487.6999999999998</v>
      </c>
      <c r="BF28" s="16"/>
      <c r="BH28" s="46">
        <v>2783.5199999999991</v>
      </c>
    </row>
    <row r="29" spans="1:61" ht="14.25" hidden="1" customHeight="1">
      <c r="A29" s="49"/>
      <c r="B29" s="71"/>
      <c r="C29" s="51" t="s">
        <v>123</v>
      </c>
      <c r="D29" s="56">
        <v>5.73</v>
      </c>
      <c r="E29" s="56">
        <v>5.37</v>
      </c>
      <c r="F29" s="56"/>
      <c r="G29" s="56">
        <v>22</v>
      </c>
      <c r="H29" s="56">
        <v>35</v>
      </c>
      <c r="I29" s="56">
        <f>ROUND(640,-1)</f>
        <v>640</v>
      </c>
      <c r="J29" s="56">
        <v>5.47</v>
      </c>
      <c r="K29" s="49"/>
      <c r="L29" s="51" t="s">
        <v>124</v>
      </c>
      <c r="M29" s="56">
        <v>5.9569999999999999</v>
      </c>
      <c r="N29" s="56">
        <v>5.7859999999999996</v>
      </c>
      <c r="O29" s="56">
        <v>16.875</v>
      </c>
      <c r="P29" s="56"/>
      <c r="Q29" s="56">
        <v>22</v>
      </c>
      <c r="R29" s="56">
        <v>35</v>
      </c>
      <c r="S29" s="56">
        <f>ROUND(534,-1)</f>
        <v>530</v>
      </c>
      <c r="T29" s="56">
        <v>5.3</v>
      </c>
      <c r="U29" s="64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51" t="s">
        <v>125</v>
      </c>
      <c r="AG29" s="56">
        <v>5.5970000000000004</v>
      </c>
      <c r="AH29" s="56">
        <v>5.9720000000000004</v>
      </c>
      <c r="AI29" s="56"/>
      <c r="AJ29" s="56">
        <v>22</v>
      </c>
      <c r="AK29" s="56">
        <v>35</v>
      </c>
      <c r="AL29" s="56">
        <f>ROUND(520,-1)</f>
        <v>520</v>
      </c>
      <c r="AM29" s="56">
        <v>4.4800000000000004</v>
      </c>
      <c r="AN29" s="49"/>
      <c r="AO29" s="51" t="s">
        <v>126</v>
      </c>
      <c r="AP29" s="56"/>
      <c r="AQ29" s="56"/>
      <c r="AR29" s="56"/>
      <c r="AS29" s="56"/>
      <c r="AT29" s="56"/>
      <c r="AU29" s="56"/>
      <c r="AV29" s="56"/>
      <c r="AW29" s="56"/>
      <c r="BA29" s="105"/>
      <c r="BB29" s="1"/>
      <c r="BC29" t="s">
        <v>47</v>
      </c>
      <c r="BD29" s="44">
        <f>BD28*BD27</f>
        <v>136.37299999999996</v>
      </c>
      <c r="BE29" s="45">
        <f>BE28*BD27</f>
        <v>124.38499999999999</v>
      </c>
      <c r="BF29" s="16">
        <f>SUM(BD29:BE29)</f>
        <v>260.75799999999992</v>
      </c>
      <c r="BH29" s="44">
        <f>BH28*BH27</f>
        <v>139.17599999999996</v>
      </c>
      <c r="BI29">
        <f>(BH29/BD28)*(100)</f>
        <v>5.1027696098201254</v>
      </c>
    </row>
    <row r="30" spans="1:61" ht="18">
      <c r="A30" s="49"/>
      <c r="B30" s="71"/>
      <c r="C30" s="51" t="s">
        <v>58</v>
      </c>
      <c r="D30" s="58">
        <f>ROUND(SUM(D22:D29)/COUNT(D22:D29), 2)</f>
        <v>5.68</v>
      </c>
      <c r="E30" s="58">
        <f>ROUND(SUM(E22:E29)/COUNT(E22:E29), 2)</f>
        <v>5.35</v>
      </c>
      <c r="F30" s="58"/>
      <c r="G30" s="58">
        <f t="shared" ref="G30" si="3">SUM(G22:G29)/COUNT(G22:G29)</f>
        <v>22</v>
      </c>
      <c r="H30" s="58">
        <f t="shared" ref="H30" si="4">SUM(H22:H29)/COUNT(H22:H29)</f>
        <v>35</v>
      </c>
      <c r="I30" s="58">
        <f>ROUND(SUM(I22:I29)/COUNT(I22:I29), -1)</f>
        <v>600</v>
      </c>
      <c r="J30" s="58">
        <f>ROUND(SUM(J22:J29)/COUNT(J22:J29), 2)</f>
        <v>5.39</v>
      </c>
      <c r="K30" s="49"/>
      <c r="L30" s="51" t="s">
        <v>58</v>
      </c>
      <c r="M30" s="58">
        <f>ROUND(SUM(M22:M29)/COUNT(M22:M29), 2)</f>
        <v>5.83</v>
      </c>
      <c r="N30" s="58">
        <f>ROUND(SUM(N22:N29)/COUNT(N22:N29), 2)</f>
        <v>5.49</v>
      </c>
      <c r="O30" s="77">
        <f>ROUND(SUM(O22:O29)/COUNT(O22:O29), 2)</f>
        <v>17.16</v>
      </c>
      <c r="P30" s="58"/>
      <c r="Q30" s="58">
        <f t="shared" ref="Q30" si="5">SUM(Q22:Q29)/COUNT(Q22:Q29)</f>
        <v>22</v>
      </c>
      <c r="R30" s="58">
        <f t="shared" ref="R30" si="6">SUM(R22:R29)/COUNT(R22:R29)</f>
        <v>35</v>
      </c>
      <c r="S30" s="58">
        <f>ROUND(SUM(S22:S29)/COUNT(S22:S29), -1)</f>
        <v>670</v>
      </c>
      <c r="T30" s="58">
        <f>ROUND(SUM(T22:T29)/COUNT(T22:T29), 2)</f>
        <v>5.19</v>
      </c>
      <c r="U30" s="64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51" t="s">
        <v>58</v>
      </c>
      <c r="AG30" s="58">
        <f>ROUND(SUM(AG22:AG29)/COUNT(AG22:AG29), 2)</f>
        <v>5.76</v>
      </c>
      <c r="AH30" s="58">
        <f>ROUND(SUM(AH22:AH29)/COUNT(AH22:AH29), 2)</f>
        <v>6.07</v>
      </c>
      <c r="AI30" s="58"/>
      <c r="AJ30" s="58">
        <f>ROUND(SUM(AJ22:AJ29)/COUNT(AJ22:AJ29), 2)</f>
        <v>22</v>
      </c>
      <c r="AK30" s="58">
        <f>ROUND(SUM(AK22:AK29)/COUNT(AK22:AK29), 2)</f>
        <v>35</v>
      </c>
      <c r="AL30" s="58">
        <f>ROUND(SUM(AL22:AL29)/COUNT(AL22:AL29), -1)</f>
        <v>510</v>
      </c>
      <c r="AM30" s="58">
        <f>ROUND(SUM(AM22:AM29)/COUNT(AM22:AM29), 2)</f>
        <v>4.88</v>
      </c>
      <c r="AN30" s="49"/>
      <c r="AO30" s="51" t="s">
        <v>58</v>
      </c>
      <c r="AP30" s="58">
        <f>ROUND(SUM(AP22:AP29)/COUNT(AP22:AP29), 2)</f>
        <v>5.51</v>
      </c>
      <c r="AQ30" s="58">
        <f>ROUND(SUM(AQ22:AQ29)/COUNT(AQ22:AQ29), 2)</f>
        <v>5.57</v>
      </c>
      <c r="AR30" s="58">
        <f>ROUND(SUM(AR22:AR29)/COUNT(AR22:AR29), 2)</f>
        <v>17.21</v>
      </c>
      <c r="AS30" s="58"/>
      <c r="AT30" s="58">
        <f>ROUND(SUM(AT22:AT29)/COUNT(AT22:AT29), 2)</f>
        <v>22</v>
      </c>
      <c r="AU30" s="58">
        <f>ROUND(SUM(AU22:AU29)/COUNT(AU22:AU29), 2)</f>
        <v>35</v>
      </c>
      <c r="AV30" s="58">
        <f>ROUND(SUM(AV22:AV29)/COUNT(AV22:AV29), -1)</f>
        <v>320</v>
      </c>
      <c r="AW30" s="58">
        <f>ROUND(SUM(AW22:AW29)/COUNT(AW22:AW29), 2)</f>
        <v>5.56</v>
      </c>
      <c r="BA30" s="105"/>
      <c r="BB30" s="1"/>
      <c r="BC30" t="s">
        <v>127</v>
      </c>
      <c r="BD30" s="44">
        <f>BD28*((BD28)/BD28*20%)</f>
        <v>545.49199999999985</v>
      </c>
      <c r="BE30" s="45">
        <f>BE28*((BE28)/BE28*20%)</f>
        <v>497.53999999999996</v>
      </c>
      <c r="BF30" s="16">
        <f t="shared" ref="BF30:BF31" si="7">SUM(BD30:BE30)</f>
        <v>1043.0319999999997</v>
      </c>
      <c r="BH30" s="44">
        <f>(BH28-BH29)*(((BH28-BH29))/(BH28-BH29)*20%)</f>
        <v>528.86879999999985</v>
      </c>
      <c r="BI30">
        <f>(BH30/BH28)*100</f>
        <v>19</v>
      </c>
    </row>
    <row r="31" spans="1:61" ht="18.75" thickBot="1">
      <c r="A31" s="49"/>
      <c r="B31" s="71"/>
      <c r="C31" s="71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64"/>
      <c r="U31" s="64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71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64"/>
      <c r="BA31" s="105"/>
      <c r="BB31" s="1"/>
      <c r="BC31" t="s">
        <v>128</v>
      </c>
      <c r="BD31" s="44">
        <f>BD28*((BD28)/BD28*80%)</f>
        <v>2181.9679999999994</v>
      </c>
      <c r="BE31" s="45">
        <f>BE28*((BE28)/BE28*80%)</f>
        <v>1990.1599999999999</v>
      </c>
      <c r="BF31" s="16">
        <f t="shared" si="7"/>
        <v>4172.1279999999988</v>
      </c>
      <c r="BH31" s="44">
        <f>(BH28-BH29)*(((BH28-BH29))/(BH28-BH29)*80%)</f>
        <v>2115.4751999999994</v>
      </c>
      <c r="BI31">
        <f>(BH31/BH28)*100</f>
        <v>76</v>
      </c>
    </row>
    <row r="32" spans="1:61" ht="15.75" thickBot="1">
      <c r="A32" s="49"/>
      <c r="B32" s="71"/>
      <c r="C32" s="71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64"/>
      <c r="U32" s="64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71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64"/>
      <c r="BB32" s="9" t="s">
        <v>115</v>
      </c>
      <c r="BC32" s="10" t="s">
        <v>39</v>
      </c>
      <c r="BD32" s="11">
        <v>0.03</v>
      </c>
      <c r="BE32" s="11"/>
      <c r="BF32" s="12"/>
    </row>
    <row r="33" spans="1:58">
      <c r="A33" s="49"/>
      <c r="B33" s="71"/>
      <c r="C33" s="101" t="s">
        <v>129</v>
      </c>
      <c r="D33" s="102"/>
      <c r="E33" s="102"/>
      <c r="F33" s="102"/>
      <c r="G33" s="102"/>
      <c r="H33" s="102"/>
      <c r="I33" s="102"/>
      <c r="J33" s="103"/>
      <c r="K33" s="49"/>
      <c r="L33" s="101" t="s">
        <v>129</v>
      </c>
      <c r="M33" s="102"/>
      <c r="N33" s="102"/>
      <c r="O33" s="102"/>
      <c r="P33" s="102"/>
      <c r="Q33" s="102"/>
      <c r="R33" s="102"/>
      <c r="S33" s="102"/>
      <c r="T33" s="103"/>
      <c r="U33" s="64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101" t="s">
        <v>129</v>
      </c>
      <c r="AG33" s="102"/>
      <c r="AH33" s="102"/>
      <c r="AI33" s="102"/>
      <c r="AJ33" s="102"/>
      <c r="AK33" s="102"/>
      <c r="AL33" s="102"/>
      <c r="AM33" s="103"/>
      <c r="AN33" s="49"/>
      <c r="AO33" s="101" t="s">
        <v>129</v>
      </c>
      <c r="AP33" s="102"/>
      <c r="AQ33" s="102"/>
      <c r="AR33" s="102"/>
      <c r="AS33" s="102"/>
      <c r="AT33" s="102"/>
      <c r="AU33" s="102"/>
      <c r="AV33" s="102"/>
      <c r="AW33" s="103"/>
      <c r="BB33" s="17" t="s">
        <v>130</v>
      </c>
      <c r="BC33" s="14"/>
      <c r="BD33" s="15">
        <f>SUM(D50:D57,M50:M57,AG50:AG57,AP50:AP57)*10</f>
        <v>1778.95</v>
      </c>
      <c r="BE33" s="15"/>
      <c r="BF33" s="16"/>
    </row>
    <row r="34" spans="1:58" ht="18" customHeight="1">
      <c r="A34" s="49"/>
      <c r="B34" s="71"/>
      <c r="C34" s="52"/>
      <c r="D34" s="91" t="s">
        <v>3</v>
      </c>
      <c r="E34" s="92"/>
      <c r="F34" s="93"/>
      <c r="G34" s="51" t="s">
        <v>4</v>
      </c>
      <c r="H34" s="52" t="s">
        <v>5</v>
      </c>
      <c r="I34" s="52" t="s">
        <v>6</v>
      </c>
      <c r="J34" s="52" t="s">
        <v>7</v>
      </c>
      <c r="K34" s="49"/>
      <c r="L34" s="51"/>
      <c r="M34" s="88" t="s">
        <v>3</v>
      </c>
      <c r="N34" s="88"/>
      <c r="O34" s="88"/>
      <c r="P34" s="88"/>
      <c r="Q34" s="51" t="s">
        <v>4</v>
      </c>
      <c r="R34" s="52" t="s">
        <v>5</v>
      </c>
      <c r="S34" s="52" t="s">
        <v>6</v>
      </c>
      <c r="T34" s="52" t="s">
        <v>7</v>
      </c>
      <c r="U34" s="64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52"/>
      <c r="AG34" s="91" t="s">
        <v>3</v>
      </c>
      <c r="AH34" s="92"/>
      <c r="AI34" s="93"/>
      <c r="AJ34" s="51" t="s">
        <v>4</v>
      </c>
      <c r="AK34" s="52" t="s">
        <v>5</v>
      </c>
      <c r="AL34" s="52" t="s">
        <v>6</v>
      </c>
      <c r="AM34" s="52" t="s">
        <v>7</v>
      </c>
      <c r="AN34" s="49"/>
      <c r="AO34" s="51"/>
      <c r="AP34" s="88" t="s">
        <v>3</v>
      </c>
      <c r="AQ34" s="88"/>
      <c r="AR34" s="88"/>
      <c r="AS34" s="88"/>
      <c r="AT34" s="51" t="s">
        <v>4</v>
      </c>
      <c r="AU34" s="52" t="s">
        <v>5</v>
      </c>
      <c r="AV34" s="52" t="s">
        <v>6</v>
      </c>
      <c r="AW34" s="52" t="s">
        <v>7</v>
      </c>
      <c r="BB34" s="17"/>
      <c r="BC34" s="14"/>
      <c r="BD34" s="15"/>
      <c r="BE34" s="15"/>
      <c r="BF34" s="16"/>
    </row>
    <row r="35" spans="1:58" ht="48.75" customHeight="1">
      <c r="A35" s="49"/>
      <c r="B35" s="71"/>
      <c r="C35" s="51" t="s">
        <v>13</v>
      </c>
      <c r="D35" s="53" t="s">
        <v>14</v>
      </c>
      <c r="E35" s="53" t="s">
        <v>80</v>
      </c>
      <c r="F35" s="53" t="s">
        <v>131</v>
      </c>
      <c r="G35" s="53" t="s">
        <v>15</v>
      </c>
      <c r="H35" s="53" t="s">
        <v>16</v>
      </c>
      <c r="I35" s="53" t="s">
        <v>17</v>
      </c>
      <c r="J35" s="53" t="s">
        <v>16</v>
      </c>
      <c r="K35" s="49"/>
      <c r="L35" s="51" t="s">
        <v>18</v>
      </c>
      <c r="M35" s="53" t="s">
        <v>14</v>
      </c>
      <c r="N35" s="53" t="s">
        <v>80</v>
      </c>
      <c r="O35" s="53" t="s">
        <v>131</v>
      </c>
      <c r="P35" s="51" t="s">
        <v>19</v>
      </c>
      <c r="Q35" s="53" t="s">
        <v>15</v>
      </c>
      <c r="R35" s="53" t="s">
        <v>16</v>
      </c>
      <c r="S35" s="53" t="s">
        <v>17</v>
      </c>
      <c r="T35" s="53" t="s">
        <v>16</v>
      </c>
      <c r="U35" s="64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51" t="s">
        <v>13</v>
      </c>
      <c r="AG35" s="53" t="s">
        <v>14</v>
      </c>
      <c r="AH35" s="53" t="s">
        <v>80</v>
      </c>
      <c r="AI35" s="53" t="s">
        <v>131</v>
      </c>
      <c r="AJ35" s="53" t="s">
        <v>15</v>
      </c>
      <c r="AK35" s="53" t="s">
        <v>16</v>
      </c>
      <c r="AL35" s="53" t="s">
        <v>17</v>
      </c>
      <c r="AM35" s="53" t="s">
        <v>16</v>
      </c>
      <c r="AN35" s="49"/>
      <c r="AO35" s="51" t="s">
        <v>18</v>
      </c>
      <c r="AP35" s="53" t="s">
        <v>14</v>
      </c>
      <c r="AQ35" s="53" t="s">
        <v>80</v>
      </c>
      <c r="AR35" s="53" t="s">
        <v>131</v>
      </c>
      <c r="AS35" s="51" t="s">
        <v>19</v>
      </c>
      <c r="AT35" s="53" t="s">
        <v>15</v>
      </c>
      <c r="AU35" s="53" t="s">
        <v>16</v>
      </c>
      <c r="AV35" s="53" t="s">
        <v>17</v>
      </c>
      <c r="AW35" s="53" t="s">
        <v>16</v>
      </c>
      <c r="BB35" s="1"/>
      <c r="BC35" t="s">
        <v>132</v>
      </c>
      <c r="BD35" s="7">
        <f>BD33*BD32</f>
        <v>53.368499999999997</v>
      </c>
      <c r="BE35" s="7"/>
      <c r="BF35" s="16">
        <f>SUM(BD35:BE35)</f>
        <v>53.368499999999997</v>
      </c>
    </row>
    <row r="36" spans="1:58" ht="20.25" customHeight="1">
      <c r="A36" s="49"/>
      <c r="B36" s="71"/>
      <c r="C36" s="51" t="s">
        <v>133</v>
      </c>
      <c r="D36" s="56">
        <f>ROUND(5.523, 2)</f>
        <v>5.52</v>
      </c>
      <c r="E36" s="56">
        <v>5.6950000000000003</v>
      </c>
      <c r="F36" s="56">
        <v>5.1429999999999998</v>
      </c>
      <c r="G36" s="56">
        <v>22</v>
      </c>
      <c r="H36" s="56">
        <v>35</v>
      </c>
      <c r="I36" s="56">
        <f>ROUND(14.2,0)</f>
        <v>14</v>
      </c>
      <c r="J36" s="56">
        <v>1.88</v>
      </c>
      <c r="K36" s="49"/>
      <c r="L36" s="51" t="s">
        <v>134</v>
      </c>
      <c r="M36" s="56">
        <v>5.9269999999999996</v>
      </c>
      <c r="N36" s="56">
        <v>6.6</v>
      </c>
      <c r="O36" s="56">
        <v>5.6580000000000004</v>
      </c>
      <c r="P36" s="56">
        <v>15.706</v>
      </c>
      <c r="Q36" s="56">
        <v>22</v>
      </c>
      <c r="R36" s="56">
        <v>35</v>
      </c>
      <c r="S36" s="56">
        <f>ROUND(15.67, 0)</f>
        <v>16</v>
      </c>
      <c r="T36" s="56">
        <v>1.55</v>
      </c>
      <c r="U36" s="64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51" t="s">
        <v>135</v>
      </c>
      <c r="AG36" s="56">
        <v>5.8639999999999999</v>
      </c>
      <c r="AH36" s="56">
        <v>5.47</v>
      </c>
      <c r="AI36" s="56">
        <v>5.976</v>
      </c>
      <c r="AJ36" s="56">
        <v>22</v>
      </c>
      <c r="AK36" s="56">
        <v>35</v>
      </c>
      <c r="AL36" s="56">
        <f>ROUND(244.9,-1)</f>
        <v>240</v>
      </c>
      <c r="AM36" s="56">
        <v>4.38</v>
      </c>
      <c r="AN36" s="49"/>
      <c r="AO36" s="51" t="s">
        <v>136</v>
      </c>
      <c r="AP36" s="56">
        <v>5.415</v>
      </c>
      <c r="AQ36" s="56">
        <v>5.8970000000000002</v>
      </c>
      <c r="AR36" s="56">
        <v>5.3789999999999996</v>
      </c>
      <c r="AS36" s="56">
        <v>13.465</v>
      </c>
      <c r="AT36" s="56">
        <v>22</v>
      </c>
      <c r="AU36" s="56">
        <v>35</v>
      </c>
      <c r="AV36" s="56"/>
      <c r="AW36" s="56"/>
      <c r="BB36" s="1"/>
      <c r="BC36" t="s">
        <v>127</v>
      </c>
      <c r="BD36" s="7">
        <f>BD33*((BD33)/BD33*60%)</f>
        <v>1067.3699999999999</v>
      </c>
      <c r="BE36" s="7"/>
      <c r="BF36" s="16">
        <f t="shared" ref="BF36:BF37" si="8">SUM(BD36:BE36)</f>
        <v>1067.3699999999999</v>
      </c>
    </row>
    <row r="37" spans="1:58" ht="20.25" customHeight="1" thickBot="1">
      <c r="A37" s="49"/>
      <c r="B37" s="71"/>
      <c r="C37" s="51" t="s">
        <v>137</v>
      </c>
      <c r="D37" s="56">
        <v>5.7480000000000002</v>
      </c>
      <c r="E37" s="56">
        <v>5.78</v>
      </c>
      <c r="F37" s="56">
        <v>5.4740000000000002</v>
      </c>
      <c r="G37" s="56">
        <v>22</v>
      </c>
      <c r="H37" s="56">
        <v>35</v>
      </c>
      <c r="I37" s="56">
        <f>ROUND(19.1,0)</f>
        <v>19</v>
      </c>
      <c r="J37" s="56">
        <v>2.0299999999999998</v>
      </c>
      <c r="K37" s="49"/>
      <c r="L37" s="51" t="s">
        <v>138</v>
      </c>
      <c r="M37" s="56">
        <v>6.0919999999999996</v>
      </c>
      <c r="N37" s="56">
        <v>6.4829999999999997</v>
      </c>
      <c r="O37" s="56">
        <v>5.7309999999999999</v>
      </c>
      <c r="P37" s="56">
        <v>16.552</v>
      </c>
      <c r="Q37" s="56">
        <v>22</v>
      </c>
      <c r="R37" s="56">
        <v>35</v>
      </c>
      <c r="S37" s="56">
        <f>ROUND(27.4, 0)</f>
        <v>27</v>
      </c>
      <c r="T37" s="56">
        <v>2.04</v>
      </c>
      <c r="U37" s="64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51" t="s">
        <v>139</v>
      </c>
      <c r="AG37" s="56">
        <v>5.3360000000000003</v>
      </c>
      <c r="AH37" s="56">
        <v>5.9710000000000001</v>
      </c>
      <c r="AI37" s="56">
        <v>5.3630000000000004</v>
      </c>
      <c r="AJ37" s="56">
        <v>22</v>
      </c>
      <c r="AK37" s="56">
        <v>35</v>
      </c>
      <c r="AL37" s="56">
        <f>ROUND(353,-1)</f>
        <v>350</v>
      </c>
      <c r="AM37" s="56">
        <v>4.01</v>
      </c>
      <c r="AN37" s="49"/>
      <c r="AO37" s="51" t="s">
        <v>140</v>
      </c>
      <c r="AP37" s="56">
        <v>5.4470000000000001</v>
      </c>
      <c r="AQ37" s="56">
        <v>5.7729999999999997</v>
      </c>
      <c r="AR37" s="56">
        <v>5.492</v>
      </c>
      <c r="AS37" s="56">
        <v>13.307</v>
      </c>
      <c r="AT37" s="56">
        <v>22</v>
      </c>
      <c r="AU37" s="56">
        <v>35</v>
      </c>
      <c r="AV37" s="56"/>
      <c r="AW37" s="56"/>
      <c r="BB37" s="18"/>
      <c r="BC37" s="2" t="s">
        <v>128</v>
      </c>
      <c r="BD37" s="19">
        <f>BD33*((BD33)/BD33*40%)</f>
        <v>711.58</v>
      </c>
      <c r="BE37" s="19"/>
      <c r="BF37" s="20">
        <f t="shared" si="8"/>
        <v>711.58</v>
      </c>
    </row>
    <row r="38" spans="1:58" ht="21.75" customHeight="1" thickBot="1">
      <c r="A38" s="49"/>
      <c r="B38" s="71"/>
      <c r="C38" s="51" t="s">
        <v>141</v>
      </c>
      <c r="D38" s="56">
        <v>5.5570000000000004</v>
      </c>
      <c r="E38" s="56">
        <v>5.5919999999999996</v>
      </c>
      <c r="F38" s="56">
        <v>5.2910000000000004</v>
      </c>
      <c r="G38" s="56">
        <v>22</v>
      </c>
      <c r="H38" s="56">
        <v>35</v>
      </c>
      <c r="I38" s="56">
        <f>ROUND(13.6,0)</f>
        <v>14</v>
      </c>
      <c r="J38" s="56">
        <v>2.42</v>
      </c>
      <c r="K38" s="49"/>
      <c r="L38" s="51" t="s">
        <v>142</v>
      </c>
      <c r="M38" s="56">
        <v>6.1120000000000001</v>
      </c>
      <c r="N38" s="56">
        <v>6.42</v>
      </c>
      <c r="O38" s="56">
        <v>5.7309999999999999</v>
      </c>
      <c r="P38" s="56">
        <v>14.438000000000001</v>
      </c>
      <c r="Q38" s="56">
        <v>22</v>
      </c>
      <c r="R38" s="56">
        <v>35</v>
      </c>
      <c r="S38" s="56">
        <f>ROUND(4.1, 0)</f>
        <v>4</v>
      </c>
      <c r="T38" s="56">
        <v>1.25</v>
      </c>
      <c r="U38" s="64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51" t="s">
        <v>143</v>
      </c>
      <c r="AG38" s="56">
        <v>5.82</v>
      </c>
      <c r="AH38" s="56">
        <v>6.7549999999999999</v>
      </c>
      <c r="AI38" s="56">
        <v>5.7629999999999999</v>
      </c>
      <c r="AJ38" s="56">
        <v>22</v>
      </c>
      <c r="AK38" s="56">
        <v>35</v>
      </c>
      <c r="AL38" s="56">
        <f>ROUND(452,-1)</f>
        <v>450</v>
      </c>
      <c r="AM38" s="56">
        <v>4</v>
      </c>
      <c r="AN38" s="49"/>
      <c r="AO38" s="51" t="s">
        <v>144</v>
      </c>
      <c r="AP38" s="56">
        <v>5.3029999999999999</v>
      </c>
      <c r="AQ38" s="56">
        <v>5.5119999999999996</v>
      </c>
      <c r="AR38" s="56">
        <v>5.3330000000000002</v>
      </c>
      <c r="AS38" s="56">
        <v>13.263999999999999</v>
      </c>
      <c r="AT38" s="56">
        <v>22</v>
      </c>
      <c r="AU38" s="56">
        <v>35</v>
      </c>
      <c r="AV38" s="56"/>
      <c r="AW38" s="56"/>
      <c r="BB38" s="9" t="s">
        <v>115</v>
      </c>
      <c r="BC38" s="10" t="s">
        <v>39</v>
      </c>
      <c r="BD38" s="11"/>
      <c r="BE38" s="11"/>
      <c r="BF38" s="12"/>
    </row>
    <row r="39" spans="1:58" ht="19.5" customHeight="1">
      <c r="A39" s="49"/>
      <c r="B39" s="71"/>
      <c r="C39" s="51" t="s">
        <v>145</v>
      </c>
      <c r="D39" s="56">
        <v>5.5289999999999999</v>
      </c>
      <c r="E39" s="56">
        <v>5.57</v>
      </c>
      <c r="F39" s="56">
        <v>5.0519999999999996</v>
      </c>
      <c r="G39" s="56">
        <v>22</v>
      </c>
      <c r="H39" s="56">
        <v>35</v>
      </c>
      <c r="I39" s="56">
        <f>ROUND(21.9,0)</f>
        <v>22</v>
      </c>
      <c r="J39" s="56">
        <v>2.78</v>
      </c>
      <c r="K39" s="49"/>
      <c r="L39" s="51" t="s">
        <v>146</v>
      </c>
      <c r="M39" s="56">
        <v>6.0620000000000003</v>
      </c>
      <c r="N39" s="56">
        <v>6.2859999999999996</v>
      </c>
      <c r="O39" s="56">
        <v>5.7460000000000004</v>
      </c>
      <c r="P39" s="56">
        <v>15.384</v>
      </c>
      <c r="Q39" s="56">
        <v>22</v>
      </c>
      <c r="R39" s="56">
        <v>35</v>
      </c>
      <c r="S39" s="56"/>
      <c r="T39" s="56"/>
      <c r="U39" s="64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51" t="s">
        <v>147</v>
      </c>
      <c r="AG39" s="56">
        <v>5.6859999999999999</v>
      </c>
      <c r="AH39" s="56">
        <v>6.9</v>
      </c>
      <c r="AI39" s="56">
        <v>5.6360000000000001</v>
      </c>
      <c r="AJ39" s="56">
        <v>22</v>
      </c>
      <c r="AK39" s="56">
        <v>35</v>
      </c>
      <c r="AL39" s="56">
        <f>ROUND(582,-1)</f>
        <v>580</v>
      </c>
      <c r="AM39" s="56">
        <v>4.08</v>
      </c>
      <c r="AN39" s="49"/>
      <c r="AO39" s="51" t="s">
        <v>148</v>
      </c>
      <c r="AP39" s="56">
        <v>5.6509999999999998</v>
      </c>
      <c r="AQ39" s="56">
        <v>5.8769999999999998</v>
      </c>
      <c r="AR39" s="56">
        <v>5.641</v>
      </c>
      <c r="AS39" s="56">
        <v>15.821999999999999</v>
      </c>
      <c r="AT39" s="56">
        <v>22</v>
      </c>
      <c r="AU39" s="56">
        <v>35</v>
      </c>
      <c r="AV39" s="56"/>
      <c r="AW39" s="56"/>
      <c r="BB39" s="21" t="s">
        <v>149</v>
      </c>
      <c r="BC39" s="22"/>
      <c r="BD39" s="23">
        <f>SUM(AG36:AG43,AP36:AP43,M36:M43,D36:D43)*10</f>
        <v>1781.6299999999999</v>
      </c>
      <c r="BE39" s="23"/>
      <c r="BF39" s="24"/>
    </row>
    <row r="40" spans="1:58" ht="24.75" customHeight="1">
      <c r="A40" s="49"/>
      <c r="B40" s="71"/>
      <c r="C40" s="51" t="s">
        <v>150</v>
      </c>
      <c r="D40" s="56">
        <v>5.8490000000000002</v>
      </c>
      <c r="E40" s="56">
        <v>5.8920000000000003</v>
      </c>
      <c r="F40" s="56">
        <v>5.4450000000000003</v>
      </c>
      <c r="G40" s="56">
        <v>22</v>
      </c>
      <c r="H40" s="56">
        <v>35</v>
      </c>
      <c r="I40" s="56">
        <f>ROUND(28.7,0)</f>
        <v>29</v>
      </c>
      <c r="J40" s="56">
        <v>2.2400000000000002</v>
      </c>
      <c r="K40" s="49"/>
      <c r="L40" s="51" t="s">
        <v>151</v>
      </c>
      <c r="M40" s="56">
        <v>6.0090000000000003</v>
      </c>
      <c r="N40" s="56">
        <v>6.54</v>
      </c>
      <c r="O40" s="56">
        <v>5.4160000000000004</v>
      </c>
      <c r="P40" s="56">
        <v>13.505000000000001</v>
      </c>
      <c r="Q40" s="56">
        <v>22</v>
      </c>
      <c r="R40" s="56">
        <v>35</v>
      </c>
      <c r="S40" s="56"/>
      <c r="T40" s="56"/>
      <c r="U40" s="64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51" t="s">
        <v>152</v>
      </c>
      <c r="AG40" s="56">
        <v>5.8860000000000001</v>
      </c>
      <c r="AH40" s="56">
        <v>7.7519999999999998</v>
      </c>
      <c r="AI40" s="56">
        <v>5.7939999999999996</v>
      </c>
      <c r="AJ40" s="56">
        <v>22</v>
      </c>
      <c r="AK40" s="56">
        <v>35</v>
      </c>
      <c r="AL40" s="56">
        <f>ROUND(398,-1)</f>
        <v>400</v>
      </c>
      <c r="AM40" s="56">
        <v>5.14</v>
      </c>
      <c r="AN40" s="49"/>
      <c r="AO40" s="51" t="s">
        <v>153</v>
      </c>
      <c r="AP40" s="56">
        <v>5.62</v>
      </c>
      <c r="AQ40" s="56">
        <v>5.7439999999999998</v>
      </c>
      <c r="AR40" s="56">
        <v>5.7889999999999997</v>
      </c>
      <c r="AS40" s="56">
        <v>15.236000000000001</v>
      </c>
      <c r="AT40" s="56">
        <v>22</v>
      </c>
      <c r="AU40" s="56">
        <v>35</v>
      </c>
      <c r="AV40" s="56"/>
      <c r="AW40" s="56"/>
      <c r="BB40" s="1"/>
      <c r="BC40" t="s">
        <v>154</v>
      </c>
      <c r="BD40" s="7">
        <f>2*BD39/3</f>
        <v>1187.7533333333333</v>
      </c>
      <c r="BE40" s="7"/>
      <c r="BF40" s="16">
        <f>SUM(BD40:BE40)</f>
        <v>1187.7533333333333</v>
      </c>
    </row>
    <row r="41" spans="1:58" ht="15.75" customHeight="1">
      <c r="A41" s="49"/>
      <c r="B41" s="71"/>
      <c r="C41" s="51" t="s">
        <v>155</v>
      </c>
      <c r="D41" s="56">
        <v>5.8760000000000003</v>
      </c>
      <c r="E41" s="56">
        <v>6.1</v>
      </c>
      <c r="F41" s="56">
        <v>5.6079999999999997</v>
      </c>
      <c r="G41" s="56">
        <v>22</v>
      </c>
      <c r="H41" s="56">
        <v>35</v>
      </c>
      <c r="I41" s="56">
        <f>ROUND(29.48,0)</f>
        <v>29</v>
      </c>
      <c r="J41" s="56">
        <v>2.81</v>
      </c>
      <c r="K41" s="49"/>
      <c r="L41" s="51" t="s">
        <v>156</v>
      </c>
      <c r="M41" s="56">
        <v>6.0389999999999997</v>
      </c>
      <c r="N41" s="56">
        <v>6.0369999999999999</v>
      </c>
      <c r="O41" s="56">
        <v>5.2489999999999997</v>
      </c>
      <c r="P41" s="56">
        <v>12.394</v>
      </c>
      <c r="Q41" s="56">
        <v>22</v>
      </c>
      <c r="R41" s="56">
        <v>35</v>
      </c>
      <c r="S41" s="56"/>
      <c r="T41" s="56"/>
      <c r="U41" s="64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51" t="s">
        <v>157</v>
      </c>
      <c r="AG41" s="56">
        <v>5.8559999999999999</v>
      </c>
      <c r="AH41" s="56">
        <v>7.3689999999999998</v>
      </c>
      <c r="AI41" s="56">
        <v>5.7720000000000002</v>
      </c>
      <c r="AJ41" s="56">
        <v>22</v>
      </c>
      <c r="AK41" s="56">
        <v>35</v>
      </c>
      <c r="AL41" s="56">
        <f>ROUND(492,-1)</f>
        <v>490</v>
      </c>
      <c r="AM41" s="56">
        <v>6.84</v>
      </c>
      <c r="AN41" s="49"/>
      <c r="AO41" s="51" t="s">
        <v>158</v>
      </c>
      <c r="AP41" s="56">
        <v>5.5540000000000003</v>
      </c>
      <c r="AQ41" s="56">
        <v>5.56</v>
      </c>
      <c r="AR41" s="56">
        <v>5.9249999999999998</v>
      </c>
      <c r="AS41" s="56">
        <v>17.645</v>
      </c>
      <c r="AT41" s="56">
        <v>22</v>
      </c>
      <c r="AU41" s="56">
        <v>35</v>
      </c>
      <c r="AV41" s="56">
        <f>ROUND(47.1, 0)</f>
        <v>47</v>
      </c>
      <c r="AW41" s="56">
        <v>7.65</v>
      </c>
      <c r="BB41" s="1"/>
      <c r="BC41" t="s">
        <v>159</v>
      </c>
      <c r="BD41" s="7">
        <f>BD39/3</f>
        <v>593.87666666666667</v>
      </c>
      <c r="BE41" s="7"/>
      <c r="BF41" s="16">
        <f t="shared" ref="BF41:BF42" si="9">SUM(BD41:BE41)</f>
        <v>593.87666666666667</v>
      </c>
    </row>
    <row r="42" spans="1:58" ht="18.75" customHeight="1" thickBot="1">
      <c r="A42" s="49"/>
      <c r="B42" s="71"/>
      <c r="C42" s="51" t="s">
        <v>160</v>
      </c>
      <c r="D42" s="56">
        <v>5.702</v>
      </c>
      <c r="E42" s="56">
        <v>6.0549999999999997</v>
      </c>
      <c r="F42" s="56">
        <v>5.5679999999999996</v>
      </c>
      <c r="G42" s="56">
        <v>22</v>
      </c>
      <c r="H42" s="56">
        <v>35</v>
      </c>
      <c r="I42" s="56">
        <f>ROUND(162.1,-1)</f>
        <v>160</v>
      </c>
      <c r="J42" s="56">
        <v>3.38</v>
      </c>
      <c r="K42" s="49"/>
      <c r="L42" s="51" t="s">
        <v>161</v>
      </c>
      <c r="M42" s="56">
        <v>5.7839999999999998</v>
      </c>
      <c r="N42" s="56">
        <v>5.68</v>
      </c>
      <c r="O42" s="56">
        <v>5.0750000000000002</v>
      </c>
      <c r="P42" s="56">
        <v>11.71</v>
      </c>
      <c r="Q42" s="56">
        <v>22</v>
      </c>
      <c r="R42" s="56">
        <v>35</v>
      </c>
      <c r="S42" s="56"/>
      <c r="T42" s="56"/>
      <c r="U42" s="64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51" t="s">
        <v>162</v>
      </c>
      <c r="AG42" s="56">
        <v>5.476</v>
      </c>
      <c r="AH42" s="56">
        <v>6.43</v>
      </c>
      <c r="AI42" s="56">
        <v>5.41</v>
      </c>
      <c r="AJ42" s="56">
        <v>22</v>
      </c>
      <c r="AK42" s="56">
        <v>35</v>
      </c>
      <c r="AL42" s="56">
        <f>ROUND(497,-1)</f>
        <v>500</v>
      </c>
      <c r="AM42" s="56">
        <v>4.59</v>
      </c>
      <c r="AN42" s="49"/>
      <c r="AO42" s="51" t="s">
        <v>163</v>
      </c>
      <c r="AP42" s="56">
        <v>5.6219999999999999</v>
      </c>
      <c r="AQ42" s="56">
        <v>5.68</v>
      </c>
      <c r="AR42" s="56">
        <v>6.0090000000000003</v>
      </c>
      <c r="AS42" s="56">
        <v>16.395</v>
      </c>
      <c r="AT42" s="56">
        <v>22</v>
      </c>
      <c r="AU42" s="56">
        <v>35</v>
      </c>
      <c r="AV42" s="56"/>
      <c r="AW42" s="56"/>
      <c r="BB42" s="18"/>
      <c r="BC42" s="2" t="s">
        <v>164</v>
      </c>
      <c r="BD42" s="19"/>
      <c r="BE42" s="19"/>
      <c r="BF42" s="20">
        <f t="shared" si="9"/>
        <v>0</v>
      </c>
    </row>
    <row r="43" spans="1:58" ht="15" customHeight="1">
      <c r="A43" s="49"/>
      <c r="B43" s="71"/>
      <c r="C43" s="51" t="s">
        <v>165</v>
      </c>
      <c r="D43" s="56">
        <v>5.992</v>
      </c>
      <c r="E43" s="56">
        <v>6.02</v>
      </c>
      <c r="F43" s="56">
        <v>5.5629999999999997</v>
      </c>
      <c r="G43" s="56">
        <v>22</v>
      </c>
      <c r="H43" s="56">
        <v>35</v>
      </c>
      <c r="I43" s="56">
        <f>ROUND(11.5,0)</f>
        <v>12</v>
      </c>
      <c r="J43" s="56">
        <v>2.4700000000000002</v>
      </c>
      <c r="K43" s="49"/>
      <c r="L43" s="51" t="s">
        <v>166</v>
      </c>
      <c r="M43" s="56">
        <v>5.9560000000000004</v>
      </c>
      <c r="N43" s="56">
        <v>5.7779999999999996</v>
      </c>
      <c r="O43" s="56">
        <v>5.4009999999999998</v>
      </c>
      <c r="P43" s="56">
        <v>13.414</v>
      </c>
      <c r="Q43" s="56">
        <v>22</v>
      </c>
      <c r="R43" s="56">
        <v>35</v>
      </c>
      <c r="S43" s="56"/>
      <c r="T43" s="56"/>
      <c r="U43" s="64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51" t="s">
        <v>167</v>
      </c>
      <c r="AG43" s="56"/>
      <c r="AH43" s="56"/>
      <c r="AI43" s="56"/>
      <c r="AJ43" s="56"/>
      <c r="AK43" s="56"/>
      <c r="AL43" s="56"/>
      <c r="AM43" s="56"/>
      <c r="AN43" s="49"/>
      <c r="AO43" s="51" t="s">
        <v>168</v>
      </c>
      <c r="AP43" s="56">
        <v>5.8730000000000002</v>
      </c>
      <c r="AQ43" s="56">
        <v>5.8369999999999997</v>
      </c>
      <c r="AR43" s="56">
        <v>6.1109999999999998</v>
      </c>
      <c r="AS43" s="56">
        <v>17.228999999999999</v>
      </c>
      <c r="AT43" s="56">
        <v>22</v>
      </c>
      <c r="AU43" s="56">
        <v>35</v>
      </c>
      <c r="AV43" s="56">
        <f>ROUND(78.3,0)</f>
        <v>78</v>
      </c>
      <c r="AW43" s="56">
        <v>8.5299999999999994</v>
      </c>
    </row>
    <row r="44" spans="1:58">
      <c r="A44" s="49"/>
      <c r="B44" s="71"/>
      <c r="C44" s="51" t="s">
        <v>58</v>
      </c>
      <c r="D44" s="58">
        <f>ROUND(SUM(D36:D43)/COUNT(D36:D43), 2)</f>
        <v>5.72</v>
      </c>
      <c r="E44" s="58">
        <f>ROUND(SUM(E36:E43)/COUNT(E36:E43), 2)</f>
        <v>5.84</v>
      </c>
      <c r="F44" s="58">
        <f>ROUND(SUM(F36:F43)/COUNT(F36:F43), 2)</f>
        <v>5.39</v>
      </c>
      <c r="G44" s="58">
        <f t="shared" ref="G44" si="10">SUM(G36:G43)/COUNT(G36:G43)</f>
        <v>22</v>
      </c>
      <c r="H44" s="58">
        <f t="shared" ref="H44" si="11">SUM(H36:H43)/COUNT(H36:H43)</f>
        <v>35</v>
      </c>
      <c r="I44" s="58">
        <f>ROUND(SUM(I36:I43)/COUNT(I36:I43), 0)</f>
        <v>37</v>
      </c>
      <c r="J44" s="58">
        <f>ROUND(SUM(J36:J43)/COUNT(J36:J43), 2)</f>
        <v>2.5</v>
      </c>
      <c r="K44" s="49"/>
      <c r="L44" s="51" t="s">
        <v>58</v>
      </c>
      <c r="M44" s="58">
        <f>ROUND(SUM(M36:M43)/COUNT(M36:M43), 2)</f>
        <v>6</v>
      </c>
      <c r="N44" s="58">
        <f>ROUND(SUM(N36:N43)/COUNT(N36:N43), 2)</f>
        <v>6.23</v>
      </c>
      <c r="O44" s="58">
        <f>ROUND(SUM(O36:O43)/COUNT(O36:O43), 2)</f>
        <v>5.5</v>
      </c>
      <c r="P44" s="58">
        <f>ROUND(SUM(P36:P43)/COUNT(P36:P43), 2)</f>
        <v>14.14</v>
      </c>
      <c r="Q44" s="58">
        <f t="shared" ref="Q44:R44" si="12">SUM(Q36:Q43)/COUNT(Q36:Q43)</f>
        <v>22</v>
      </c>
      <c r="R44" s="58">
        <f t="shared" si="12"/>
        <v>35</v>
      </c>
      <c r="S44" s="58">
        <f>ROUND(SUM(S36:S43)/COUNT(S36:S43), 0)</f>
        <v>16</v>
      </c>
      <c r="T44" s="58">
        <f>ROUND(SUM(T36:T43)/COUNT(T36:T43), 2)</f>
        <v>1.61</v>
      </c>
      <c r="U44" s="64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51" t="s">
        <v>58</v>
      </c>
      <c r="AG44" s="58">
        <f>ROUND(SUM(AG36:AG43)/COUNT(AG36:AG43), 2)</f>
        <v>5.7</v>
      </c>
      <c r="AH44" s="58">
        <f>ROUND(SUM(AH36:AH43)/COUNT(AH36:AH43), 2)</f>
        <v>6.66</v>
      </c>
      <c r="AI44" s="58">
        <f>ROUND(SUM(AI36:AI43)/COUNT(AI36:AI43), 2)</f>
        <v>5.67</v>
      </c>
      <c r="AJ44" s="58">
        <f>ROUND(SUM(AJ36:AJ43)/COUNT(AJ36:AJ43), 2)</f>
        <v>22</v>
      </c>
      <c r="AK44" s="58">
        <f>ROUND(SUM(AK36:AK43)/COUNT(AK36:AK43), 2)</f>
        <v>35</v>
      </c>
      <c r="AL44" s="58">
        <f>ROUND(SUM(AL36:AL43)/COUNT(AL36:AL43), -1)</f>
        <v>430</v>
      </c>
      <c r="AM44" s="58">
        <f>ROUND(SUM(AM36:AM43)/COUNT(AM36:AM43), 2)</f>
        <v>4.72</v>
      </c>
      <c r="AN44" s="49"/>
      <c r="AO44" s="51" t="s">
        <v>58</v>
      </c>
      <c r="AP44" s="58">
        <f t="shared" ref="AP44:AU44" si="13">ROUND(SUM(AP36:AP43)/COUNT(AP36:AP43), 2)</f>
        <v>5.56</v>
      </c>
      <c r="AQ44" s="58">
        <f t="shared" si="13"/>
        <v>5.74</v>
      </c>
      <c r="AR44" s="58">
        <f t="shared" si="13"/>
        <v>5.71</v>
      </c>
      <c r="AS44" s="58">
        <f t="shared" si="13"/>
        <v>15.3</v>
      </c>
      <c r="AT44" s="58">
        <f t="shared" si="13"/>
        <v>22</v>
      </c>
      <c r="AU44" s="58">
        <f t="shared" si="13"/>
        <v>35</v>
      </c>
      <c r="AV44" s="58">
        <f>ROUND(SUM(AV36:AV43)/COUNT(AV36:AV43), 0)</f>
        <v>63</v>
      </c>
      <c r="AW44" s="58">
        <f>ROUND(SUM(AW36:AW43)/COUNT(AW36:AW43), 2)</f>
        <v>8.09</v>
      </c>
    </row>
    <row r="45" spans="1:58">
      <c r="A45" s="49"/>
      <c r="B45" s="71"/>
      <c r="C45" s="71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64"/>
      <c r="U45" s="64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71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64"/>
      <c r="BB45" s="6"/>
    </row>
    <row r="46" spans="1:58" ht="15.75" thickBot="1">
      <c r="A46" s="49"/>
      <c r="B46" s="71"/>
      <c r="C46" s="71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64"/>
      <c r="U46" s="64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71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64"/>
    </row>
    <row r="47" spans="1:58">
      <c r="A47" s="49"/>
      <c r="B47" s="71"/>
      <c r="C47" s="101" t="s">
        <v>169</v>
      </c>
      <c r="D47" s="102"/>
      <c r="E47" s="102"/>
      <c r="F47" s="102"/>
      <c r="G47" s="102"/>
      <c r="H47" s="102"/>
      <c r="I47" s="102"/>
      <c r="J47" s="103"/>
      <c r="K47" s="49"/>
      <c r="L47" s="101" t="s">
        <v>169</v>
      </c>
      <c r="M47" s="102"/>
      <c r="N47" s="102"/>
      <c r="O47" s="102"/>
      <c r="P47" s="102"/>
      <c r="Q47" s="102"/>
      <c r="R47" s="102"/>
      <c r="S47" s="102"/>
      <c r="T47" s="103"/>
      <c r="U47" s="78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101" t="s">
        <v>169</v>
      </c>
      <c r="AG47" s="102"/>
      <c r="AH47" s="102"/>
      <c r="AI47" s="102"/>
      <c r="AJ47" s="102"/>
      <c r="AK47" s="102"/>
      <c r="AL47" s="102"/>
      <c r="AM47" s="103"/>
      <c r="AN47" s="49"/>
      <c r="AO47" s="101" t="s">
        <v>169</v>
      </c>
      <c r="AP47" s="102"/>
      <c r="AQ47" s="102"/>
      <c r="AR47" s="102"/>
      <c r="AS47" s="102"/>
      <c r="AT47" s="102"/>
      <c r="AU47" s="102"/>
      <c r="AV47" s="102"/>
      <c r="AW47" s="103"/>
    </row>
    <row r="48" spans="1:58" ht="18" customHeight="1">
      <c r="A48" s="49"/>
      <c r="B48" s="71"/>
      <c r="C48" s="52"/>
      <c r="D48" s="91" t="s">
        <v>3</v>
      </c>
      <c r="E48" s="92"/>
      <c r="F48" s="93"/>
      <c r="G48" s="51" t="s">
        <v>4</v>
      </c>
      <c r="H48" s="52" t="s">
        <v>5</v>
      </c>
      <c r="I48" s="52" t="s">
        <v>6</v>
      </c>
      <c r="J48" s="52" t="s">
        <v>7</v>
      </c>
      <c r="K48" s="49"/>
      <c r="L48" s="51"/>
      <c r="M48" s="88" t="s">
        <v>3</v>
      </c>
      <c r="N48" s="88"/>
      <c r="O48" s="88"/>
      <c r="P48" s="88"/>
      <c r="Q48" s="51" t="s">
        <v>4</v>
      </c>
      <c r="R48" s="52" t="s">
        <v>5</v>
      </c>
      <c r="S48" s="52" t="s">
        <v>6</v>
      </c>
      <c r="T48" s="52" t="s">
        <v>7</v>
      </c>
      <c r="U48" s="78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52"/>
      <c r="AG48" s="91" t="s">
        <v>3</v>
      </c>
      <c r="AH48" s="92"/>
      <c r="AI48" s="93"/>
      <c r="AJ48" s="51" t="s">
        <v>4</v>
      </c>
      <c r="AK48" s="52" t="s">
        <v>5</v>
      </c>
      <c r="AL48" s="52" t="s">
        <v>6</v>
      </c>
      <c r="AM48" s="52" t="s">
        <v>7</v>
      </c>
      <c r="AN48" s="49"/>
      <c r="AO48" s="51"/>
      <c r="AP48" s="88" t="s">
        <v>3</v>
      </c>
      <c r="AQ48" s="88"/>
      <c r="AR48" s="88"/>
      <c r="AS48" s="88"/>
      <c r="AT48" s="51" t="s">
        <v>4</v>
      </c>
      <c r="AU48" s="52" t="s">
        <v>5</v>
      </c>
      <c r="AV48" s="52" t="s">
        <v>6</v>
      </c>
      <c r="AW48" s="52" t="s">
        <v>7</v>
      </c>
    </row>
    <row r="49" spans="1:49" ht="33.75" customHeight="1">
      <c r="A49" s="49"/>
      <c r="B49" s="71"/>
      <c r="C49" s="51" t="s">
        <v>13</v>
      </c>
      <c r="D49" s="53" t="s">
        <v>14</v>
      </c>
      <c r="E49" s="53" t="s">
        <v>80</v>
      </c>
      <c r="F49" s="53" t="s">
        <v>170</v>
      </c>
      <c r="G49" s="53" t="s">
        <v>15</v>
      </c>
      <c r="H49" s="53" t="s">
        <v>16</v>
      </c>
      <c r="I49" s="53" t="s">
        <v>17</v>
      </c>
      <c r="J49" s="53" t="s">
        <v>16</v>
      </c>
      <c r="K49" s="49"/>
      <c r="L49" s="51" t="s">
        <v>18</v>
      </c>
      <c r="M49" s="53" t="s">
        <v>14</v>
      </c>
      <c r="N49" s="54" t="s">
        <v>80</v>
      </c>
      <c r="O49" s="54" t="s">
        <v>170</v>
      </c>
      <c r="P49" s="55" t="s">
        <v>19</v>
      </c>
      <c r="Q49" s="53" t="s">
        <v>15</v>
      </c>
      <c r="R49" s="53" t="s">
        <v>16</v>
      </c>
      <c r="S49" s="53" t="s">
        <v>17</v>
      </c>
      <c r="T49" s="53" t="s">
        <v>16</v>
      </c>
      <c r="U49" s="78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51" t="s">
        <v>13</v>
      </c>
      <c r="AG49" s="53" t="s">
        <v>14</v>
      </c>
      <c r="AH49" s="53" t="s">
        <v>80</v>
      </c>
      <c r="AI49" s="53" t="s">
        <v>170</v>
      </c>
      <c r="AJ49" s="53" t="s">
        <v>15</v>
      </c>
      <c r="AK49" s="53" t="s">
        <v>16</v>
      </c>
      <c r="AL49" s="53" t="s">
        <v>17</v>
      </c>
      <c r="AM49" s="53" t="s">
        <v>16</v>
      </c>
      <c r="AN49" s="49"/>
      <c r="AO49" s="51" t="s">
        <v>18</v>
      </c>
      <c r="AP49" s="53" t="s">
        <v>14</v>
      </c>
      <c r="AQ49" s="54" t="s">
        <v>80</v>
      </c>
      <c r="AR49" s="54" t="s">
        <v>170</v>
      </c>
      <c r="AS49" s="55" t="s">
        <v>19</v>
      </c>
      <c r="AT49" s="53" t="s">
        <v>15</v>
      </c>
      <c r="AU49" s="53" t="s">
        <v>16</v>
      </c>
      <c r="AV49" s="53" t="s">
        <v>17</v>
      </c>
      <c r="AW49" s="53" t="s">
        <v>16</v>
      </c>
    </row>
    <row r="50" spans="1:49">
      <c r="A50" s="49"/>
      <c r="B50" s="71"/>
      <c r="C50" s="51" t="s">
        <v>171</v>
      </c>
      <c r="D50" s="56">
        <v>5.6559999999999997</v>
      </c>
      <c r="E50" s="56">
        <v>5.4580000000000002</v>
      </c>
      <c r="F50" s="56">
        <v>5.274</v>
      </c>
      <c r="G50" s="56">
        <v>22</v>
      </c>
      <c r="H50" s="56">
        <v>35</v>
      </c>
      <c r="I50" s="56">
        <f>ROUND(740, -1)</f>
        <v>740</v>
      </c>
      <c r="J50" s="56">
        <v>4.47</v>
      </c>
      <c r="K50" s="49"/>
      <c r="L50" s="51" t="s">
        <v>172</v>
      </c>
      <c r="M50" s="56">
        <v>6.0620000000000003</v>
      </c>
      <c r="N50" s="56">
        <v>5.81</v>
      </c>
      <c r="O50" s="56">
        <v>5.375</v>
      </c>
      <c r="P50" s="56">
        <v>13.32</v>
      </c>
      <c r="Q50" s="56">
        <v>22</v>
      </c>
      <c r="R50" s="56">
        <v>35</v>
      </c>
      <c r="S50" s="56">
        <f>ROUND(614,-1)</f>
        <v>610</v>
      </c>
      <c r="T50" s="56">
        <v>5.47</v>
      </c>
      <c r="U50" s="78"/>
      <c r="V50" s="49"/>
      <c r="W50" s="49"/>
      <c r="X50" s="49"/>
      <c r="Y50" s="49"/>
      <c r="Z50" s="49"/>
      <c r="AA50" s="49"/>
      <c r="AB50" s="49"/>
      <c r="AC50" s="49"/>
      <c r="AD50" s="50"/>
      <c r="AE50" s="49"/>
      <c r="AF50" s="51" t="s">
        <v>173</v>
      </c>
      <c r="AG50" s="56">
        <v>5.7</v>
      </c>
      <c r="AH50" s="56">
        <v>6.2880000000000003</v>
      </c>
      <c r="AI50" s="56">
        <v>5.5620000000000003</v>
      </c>
      <c r="AJ50" s="56">
        <v>22</v>
      </c>
      <c r="AK50" s="56">
        <v>35</v>
      </c>
      <c r="AL50" s="56">
        <f>ROUND(484.6,-1)</f>
        <v>480</v>
      </c>
      <c r="AM50" s="56">
        <v>9.0500000000000007</v>
      </c>
      <c r="AN50" s="49"/>
      <c r="AO50" s="51" t="s">
        <v>174</v>
      </c>
      <c r="AP50" s="56">
        <v>6.234</v>
      </c>
      <c r="AQ50" s="56">
        <v>6.4749999999999996</v>
      </c>
      <c r="AR50" s="57">
        <v>6.01</v>
      </c>
      <c r="AS50" s="56">
        <v>20.62</v>
      </c>
      <c r="AT50" s="56">
        <v>22</v>
      </c>
      <c r="AU50" s="56">
        <v>35</v>
      </c>
      <c r="AV50" s="56">
        <f>ROUND(321,-1)</f>
        <v>320</v>
      </c>
      <c r="AW50" s="56">
        <v>18.850000000000001</v>
      </c>
    </row>
    <row r="51" spans="1:49">
      <c r="A51" s="49"/>
      <c r="B51" s="71"/>
      <c r="C51" s="51" t="s">
        <v>175</v>
      </c>
      <c r="D51" s="56">
        <v>5.6660000000000004</v>
      </c>
      <c r="E51" s="56">
        <v>5.4530000000000003</v>
      </c>
      <c r="F51" s="56">
        <v>5.1769999999999996</v>
      </c>
      <c r="G51" s="56">
        <v>22</v>
      </c>
      <c r="H51" s="56">
        <v>35</v>
      </c>
      <c r="I51" s="56">
        <f>ROUND(649, -1)</f>
        <v>650</v>
      </c>
      <c r="J51" s="56">
        <v>5.51</v>
      </c>
      <c r="K51" s="49"/>
      <c r="L51" s="51" t="s">
        <v>176</v>
      </c>
      <c r="M51" s="56">
        <v>5.8550000000000004</v>
      </c>
      <c r="N51" s="56">
        <v>5.6820000000000004</v>
      </c>
      <c r="O51" s="56">
        <v>5.24</v>
      </c>
      <c r="P51" s="56">
        <v>10.885999999999999</v>
      </c>
      <c r="Q51" s="56">
        <v>22</v>
      </c>
      <c r="R51" s="56">
        <v>35</v>
      </c>
      <c r="S51" s="56">
        <f>ROUND(655,-1)</f>
        <v>660</v>
      </c>
      <c r="T51" s="56">
        <v>5.63</v>
      </c>
      <c r="U51" s="78"/>
      <c r="V51" s="49"/>
      <c r="W51" s="49"/>
      <c r="X51" s="49"/>
      <c r="Y51" s="49"/>
      <c r="Z51" s="49"/>
      <c r="AA51" s="49"/>
      <c r="AB51" s="49"/>
      <c r="AC51" s="49"/>
      <c r="AD51" s="50"/>
      <c r="AE51" s="49"/>
      <c r="AF51" s="51" t="s">
        <v>177</v>
      </c>
      <c r="AG51" s="56">
        <v>5.298</v>
      </c>
      <c r="AH51" s="56">
        <v>5.7489999999999997</v>
      </c>
      <c r="AI51" s="56">
        <v>5.157</v>
      </c>
      <c r="AJ51" s="56">
        <v>22</v>
      </c>
      <c r="AK51" s="56">
        <v>35</v>
      </c>
      <c r="AL51" s="56">
        <f>ROUND(584.5,-1)</f>
        <v>580</v>
      </c>
      <c r="AM51" s="56">
        <v>4.6399999999999997</v>
      </c>
      <c r="AN51" s="49"/>
      <c r="AO51" s="51" t="s">
        <v>178</v>
      </c>
      <c r="AP51" s="56">
        <v>5.95</v>
      </c>
      <c r="AQ51" s="56">
        <v>6.06</v>
      </c>
      <c r="AR51" s="56">
        <v>5.8920000000000003</v>
      </c>
      <c r="AS51" s="56">
        <v>19.34</v>
      </c>
      <c r="AT51" s="56">
        <v>22</v>
      </c>
      <c r="AU51" s="56">
        <v>35</v>
      </c>
      <c r="AV51" s="56">
        <f>ROUND(318,-1)</f>
        <v>320</v>
      </c>
      <c r="AW51" s="56">
        <v>11.52</v>
      </c>
    </row>
    <row r="52" spans="1:49">
      <c r="A52" s="49"/>
      <c r="B52" s="71"/>
      <c r="C52" s="51" t="s">
        <v>179</v>
      </c>
      <c r="D52" s="56">
        <v>5.827</v>
      </c>
      <c r="E52" s="56">
        <v>5.5620000000000003</v>
      </c>
      <c r="F52" s="56">
        <v>5.2779999999999996</v>
      </c>
      <c r="G52" s="56">
        <v>22</v>
      </c>
      <c r="H52" s="56">
        <v>35</v>
      </c>
      <c r="I52" s="56">
        <f>ROUND(657, -1)</f>
        <v>660</v>
      </c>
      <c r="J52" s="56">
        <v>4.6100000000000003</v>
      </c>
      <c r="K52" s="49"/>
      <c r="L52" s="51" t="s">
        <v>180</v>
      </c>
      <c r="M52" s="56">
        <v>6.0529999999999999</v>
      </c>
      <c r="N52" s="56">
        <v>5.87</v>
      </c>
      <c r="O52" s="56">
        <v>5.5380000000000003</v>
      </c>
      <c r="P52" s="56">
        <v>13.010999999999999</v>
      </c>
      <c r="Q52" s="56">
        <v>22</v>
      </c>
      <c r="R52" s="56">
        <v>35</v>
      </c>
      <c r="S52" s="56">
        <f>ROUND(509,-1)</f>
        <v>510</v>
      </c>
      <c r="T52" s="56">
        <v>5.29</v>
      </c>
      <c r="U52" s="78"/>
      <c r="V52" s="49"/>
      <c r="W52" s="49"/>
      <c r="X52" s="49"/>
      <c r="Y52" s="49"/>
      <c r="Z52" s="49"/>
      <c r="AA52" s="49"/>
      <c r="AB52" s="49"/>
      <c r="AC52" s="49"/>
      <c r="AD52" s="50"/>
      <c r="AE52" s="49"/>
      <c r="AF52" s="51" t="s">
        <v>181</v>
      </c>
      <c r="AG52" s="56">
        <v>5.1100000000000003</v>
      </c>
      <c r="AH52" s="56">
        <v>5.99</v>
      </c>
      <c r="AI52" s="56">
        <v>5.31</v>
      </c>
      <c r="AJ52" s="56">
        <v>22</v>
      </c>
      <c r="AK52" s="56">
        <v>35</v>
      </c>
      <c r="AL52" s="56">
        <f>ROUND(452,-1)</f>
        <v>450</v>
      </c>
      <c r="AM52" s="56">
        <v>7.8</v>
      </c>
      <c r="AN52" s="49"/>
      <c r="AO52" s="51" t="s">
        <v>182</v>
      </c>
      <c r="AP52" s="56">
        <v>6.0389999999999997</v>
      </c>
      <c r="AQ52" s="56">
        <v>6.1760000000000002</v>
      </c>
      <c r="AR52" s="56">
        <v>5.2649999999999997</v>
      </c>
      <c r="AS52" s="56">
        <v>17.760000000000002</v>
      </c>
      <c r="AT52" s="56">
        <v>22</v>
      </c>
      <c r="AU52" s="56">
        <v>35</v>
      </c>
      <c r="AV52" s="56">
        <f>ROUND(285,-1)</f>
        <v>290</v>
      </c>
      <c r="AW52" s="56">
        <v>9.92</v>
      </c>
    </row>
    <row r="53" spans="1:49">
      <c r="A53" s="49"/>
      <c r="B53" s="71"/>
      <c r="C53" s="51" t="s">
        <v>183</v>
      </c>
      <c r="D53" s="56">
        <v>5.7610000000000001</v>
      </c>
      <c r="E53" s="56">
        <v>5.61</v>
      </c>
      <c r="F53" s="56">
        <v>5.1740000000000004</v>
      </c>
      <c r="G53" s="56">
        <v>22</v>
      </c>
      <c r="H53" s="56">
        <v>35</v>
      </c>
      <c r="I53" s="56">
        <f>ROUND(511, -1)</f>
        <v>510</v>
      </c>
      <c r="J53" s="56">
        <v>5.33</v>
      </c>
      <c r="K53" s="49"/>
      <c r="L53" s="51" t="s">
        <v>184</v>
      </c>
      <c r="M53" s="56">
        <v>6.101</v>
      </c>
      <c r="N53" s="56">
        <v>5.8639999999999999</v>
      </c>
      <c r="O53" s="57">
        <v>5.5030000000000001</v>
      </c>
      <c r="P53" s="56">
        <v>12.108000000000001</v>
      </c>
      <c r="Q53" s="56">
        <v>22</v>
      </c>
      <c r="R53" s="56">
        <v>35</v>
      </c>
      <c r="S53" s="56">
        <f>ROUND(451,-1)</f>
        <v>450</v>
      </c>
      <c r="T53" s="56">
        <v>6.91</v>
      </c>
      <c r="U53" s="78"/>
      <c r="V53" s="49"/>
      <c r="W53" s="49"/>
      <c r="X53" s="49"/>
      <c r="Y53" s="49"/>
      <c r="Z53" s="49"/>
      <c r="AA53" s="49"/>
      <c r="AB53" s="49"/>
      <c r="AC53" s="49"/>
      <c r="AD53" s="50"/>
      <c r="AE53" s="49"/>
      <c r="AF53" s="51" t="s">
        <v>185</v>
      </c>
      <c r="AG53" s="56">
        <v>5.194</v>
      </c>
      <c r="AH53" s="56">
        <v>5.6859999999999999</v>
      </c>
      <c r="AI53" s="56">
        <v>5.093</v>
      </c>
      <c r="AJ53" s="56">
        <v>22</v>
      </c>
      <c r="AK53" s="56">
        <v>35</v>
      </c>
      <c r="AL53" s="56">
        <f>ROUND(626,-1)</f>
        <v>630</v>
      </c>
      <c r="AM53" s="56">
        <v>6.17</v>
      </c>
      <c r="AN53" s="49"/>
      <c r="AO53" s="51" t="s">
        <v>186</v>
      </c>
      <c r="AP53" s="56">
        <v>5.95</v>
      </c>
      <c r="AQ53" s="56">
        <v>6.0730000000000004</v>
      </c>
      <c r="AR53" s="56">
        <v>5.835</v>
      </c>
      <c r="AS53" s="56">
        <v>19.47</v>
      </c>
      <c r="AT53" s="56">
        <v>22</v>
      </c>
      <c r="AU53" s="56">
        <v>35</v>
      </c>
      <c r="AV53" s="56">
        <f>ROUND(364,-1)</f>
        <v>360</v>
      </c>
      <c r="AW53" s="56">
        <v>15.55</v>
      </c>
    </row>
    <row r="54" spans="1:49">
      <c r="A54" s="49"/>
      <c r="B54" s="71"/>
      <c r="C54" s="51" t="s">
        <v>187</v>
      </c>
      <c r="D54" s="56">
        <v>5.5759999999999996</v>
      </c>
      <c r="E54" s="56">
        <v>5.27</v>
      </c>
      <c r="F54" s="56">
        <v>4.9290000000000003</v>
      </c>
      <c r="G54" s="56">
        <v>22</v>
      </c>
      <c r="H54" s="56">
        <v>35</v>
      </c>
      <c r="I54" s="56">
        <f>ROUND(605, -1)</f>
        <v>610</v>
      </c>
      <c r="J54" s="56">
        <v>4.3600000000000003</v>
      </c>
      <c r="K54" s="49"/>
      <c r="L54" s="51" t="s">
        <v>188</v>
      </c>
      <c r="M54" s="56">
        <v>5.7759999999999998</v>
      </c>
      <c r="N54" s="56">
        <v>5.4619999999999997</v>
      </c>
      <c r="O54" s="56">
        <v>5.2380000000000004</v>
      </c>
      <c r="P54" s="56">
        <v>11.651999999999999</v>
      </c>
      <c r="Q54" s="56">
        <v>22</v>
      </c>
      <c r="R54" s="56">
        <v>35</v>
      </c>
      <c r="S54" s="56">
        <f>ROUND(565,-1)</f>
        <v>570</v>
      </c>
      <c r="T54" s="56">
        <v>5.07</v>
      </c>
      <c r="U54" s="78"/>
      <c r="V54" s="49"/>
      <c r="W54" s="49"/>
      <c r="X54" s="49"/>
      <c r="Y54" s="49"/>
      <c r="Z54" s="49"/>
      <c r="AA54" s="49"/>
      <c r="AB54" s="49"/>
      <c r="AC54" s="49"/>
      <c r="AD54" s="50"/>
      <c r="AE54" s="49"/>
      <c r="AF54" s="51" t="s">
        <v>189</v>
      </c>
      <c r="AG54" s="56">
        <v>5.5250000000000004</v>
      </c>
      <c r="AH54" s="56">
        <v>5.915</v>
      </c>
      <c r="AI54" s="56">
        <v>5.524</v>
      </c>
      <c r="AJ54" s="56">
        <v>22</v>
      </c>
      <c r="AK54" s="56">
        <v>35</v>
      </c>
      <c r="AL54" s="56">
        <f>ROUND(452,-1)</f>
        <v>450</v>
      </c>
      <c r="AM54" s="56">
        <v>7.62</v>
      </c>
      <c r="AN54" s="49"/>
      <c r="AO54" s="51" t="s">
        <v>190</v>
      </c>
      <c r="AP54" s="56">
        <v>5.859</v>
      </c>
      <c r="AQ54" s="56">
        <v>5.9669999999999996</v>
      </c>
      <c r="AR54" s="56">
        <v>5.7530000000000001</v>
      </c>
      <c r="AS54" s="56">
        <v>19.62</v>
      </c>
      <c r="AT54" s="56">
        <v>22</v>
      </c>
      <c r="AU54" s="56">
        <v>35</v>
      </c>
      <c r="AV54" s="56">
        <f>ROUND(355,-1)</f>
        <v>360</v>
      </c>
      <c r="AW54" s="56">
        <v>13.71</v>
      </c>
    </row>
    <row r="55" spans="1:49">
      <c r="A55" s="49"/>
      <c r="B55" s="71"/>
      <c r="C55" s="51" t="s">
        <v>191</v>
      </c>
      <c r="D55" s="56">
        <v>5.64</v>
      </c>
      <c r="E55" s="56">
        <v>5.2770000000000001</v>
      </c>
      <c r="F55" s="56">
        <v>4.9210000000000003</v>
      </c>
      <c r="G55" s="56">
        <v>22</v>
      </c>
      <c r="H55" s="56">
        <v>35</v>
      </c>
      <c r="I55" s="56">
        <f>ROUND(587, -1)</f>
        <v>590</v>
      </c>
      <c r="J55" s="56">
        <v>4.67</v>
      </c>
      <c r="K55" s="49"/>
      <c r="L55" s="51" t="s">
        <v>192</v>
      </c>
      <c r="M55" s="56">
        <v>5.86</v>
      </c>
      <c r="N55" s="56">
        <v>5.4749999999999996</v>
      </c>
      <c r="O55" s="56">
        <v>5.2839999999999998</v>
      </c>
      <c r="P55" s="56">
        <v>12.587999999999999</v>
      </c>
      <c r="Q55" s="56">
        <v>22</v>
      </c>
      <c r="R55" s="56">
        <v>35</v>
      </c>
      <c r="S55" s="56">
        <f>ROUND(497,-1)</f>
        <v>500</v>
      </c>
      <c r="T55" s="56">
        <v>4.8600000000000003</v>
      </c>
      <c r="U55" s="78"/>
      <c r="V55" s="49"/>
      <c r="W55" s="49"/>
      <c r="X55" s="49"/>
      <c r="Y55" s="49"/>
      <c r="Z55" s="49"/>
      <c r="AA55" s="49"/>
      <c r="AB55" s="49"/>
      <c r="AC55" s="49"/>
      <c r="AD55" s="50"/>
      <c r="AE55" s="49"/>
      <c r="AF55" s="51" t="s">
        <v>193</v>
      </c>
      <c r="AG55" s="56">
        <v>5.5149999999999997</v>
      </c>
      <c r="AH55" s="56">
        <v>5.7919999999999998</v>
      </c>
      <c r="AI55" s="56">
        <v>5.2969999999999997</v>
      </c>
      <c r="AJ55" s="56">
        <v>22</v>
      </c>
      <c r="AK55" s="56">
        <v>35</v>
      </c>
      <c r="AL55" s="56">
        <f>ROUND(423,-1)</f>
        <v>420</v>
      </c>
      <c r="AM55" s="56">
        <v>4.43</v>
      </c>
      <c r="AN55" s="49"/>
      <c r="AO55" s="51" t="s">
        <v>194</v>
      </c>
      <c r="AP55" s="56">
        <v>6.1020000000000003</v>
      </c>
      <c r="AQ55" s="56">
        <v>6.15</v>
      </c>
      <c r="AR55" s="57">
        <v>6</v>
      </c>
      <c r="AS55" s="56">
        <v>19.8</v>
      </c>
      <c r="AT55" s="56">
        <v>22</v>
      </c>
      <c r="AU55" s="56">
        <v>35</v>
      </c>
      <c r="AV55" s="56">
        <f>ROUND(389,-1)</f>
        <v>390</v>
      </c>
      <c r="AW55" s="56">
        <v>8.14</v>
      </c>
    </row>
    <row r="56" spans="1:49" ht="16.5" customHeight="1">
      <c r="A56" s="49"/>
      <c r="B56" s="71"/>
      <c r="C56" s="51" t="s">
        <v>195</v>
      </c>
      <c r="D56" s="56">
        <v>5.6280000000000001</v>
      </c>
      <c r="E56" s="56">
        <v>5.3280000000000003</v>
      </c>
      <c r="F56" s="56">
        <v>4.9409999999999998</v>
      </c>
      <c r="G56" s="56">
        <v>22</v>
      </c>
      <c r="H56" s="56">
        <v>35</v>
      </c>
      <c r="I56" s="56">
        <f>ROUND(557, -1)</f>
        <v>560</v>
      </c>
      <c r="J56" s="56">
        <v>4.33</v>
      </c>
      <c r="K56" s="49"/>
      <c r="L56" s="51" t="s">
        <v>196</v>
      </c>
      <c r="M56" s="56">
        <v>5.6639999999999997</v>
      </c>
      <c r="N56" s="56">
        <v>5.4249999999999998</v>
      </c>
      <c r="O56" s="56">
        <v>5.0810000000000004</v>
      </c>
      <c r="P56" s="56">
        <v>13.095000000000001</v>
      </c>
      <c r="Q56" s="56">
        <v>22</v>
      </c>
      <c r="R56" s="56">
        <v>35</v>
      </c>
      <c r="S56" s="56">
        <f>ROUND(565,-1)</f>
        <v>570</v>
      </c>
      <c r="T56" s="56">
        <v>5.1100000000000003</v>
      </c>
      <c r="U56" s="78"/>
      <c r="V56" s="49"/>
      <c r="W56" s="49"/>
      <c r="X56" s="49"/>
      <c r="Y56" s="49"/>
      <c r="Z56" s="49"/>
      <c r="AA56" s="49"/>
      <c r="AB56" s="49"/>
      <c r="AC56" s="49"/>
      <c r="AD56" s="50"/>
      <c r="AE56" s="49"/>
      <c r="AF56" s="51" t="s">
        <v>197</v>
      </c>
      <c r="AG56" s="56">
        <v>5.6580000000000004</v>
      </c>
      <c r="AH56" s="56">
        <v>5.9820000000000002</v>
      </c>
      <c r="AI56" s="56">
        <v>5.52</v>
      </c>
      <c r="AJ56" s="56">
        <v>22</v>
      </c>
      <c r="AK56" s="56">
        <v>35</v>
      </c>
      <c r="AL56" s="56">
        <f>ROUND(655,-1)</f>
        <v>660</v>
      </c>
      <c r="AM56" s="56">
        <v>5.09</v>
      </c>
      <c r="AN56" s="49"/>
      <c r="AO56" s="51" t="s">
        <v>198</v>
      </c>
      <c r="AP56" s="56"/>
      <c r="AQ56" s="56"/>
      <c r="AR56" s="56"/>
      <c r="AS56" s="56"/>
      <c r="AT56" s="56"/>
      <c r="AU56" s="56"/>
      <c r="AV56" s="56"/>
      <c r="AW56" s="56"/>
    </row>
    <row r="57" spans="1:49">
      <c r="A57" s="49"/>
      <c r="B57" s="71"/>
      <c r="C57" s="51" t="s">
        <v>199</v>
      </c>
      <c r="D57" s="56">
        <v>5.8330000000000002</v>
      </c>
      <c r="E57" s="56">
        <v>5.5510000000000002</v>
      </c>
      <c r="F57" s="56">
        <v>4.9989999999999997</v>
      </c>
      <c r="G57" s="56">
        <v>22</v>
      </c>
      <c r="H57" s="56">
        <v>35</v>
      </c>
      <c r="I57" s="56">
        <f>ROUND(515, -1)</f>
        <v>520</v>
      </c>
      <c r="J57" s="56">
        <v>5.14</v>
      </c>
      <c r="K57" s="49"/>
      <c r="L57" s="51" t="s">
        <v>200</v>
      </c>
      <c r="M57" s="56">
        <v>5.6849999999999996</v>
      </c>
      <c r="N57" s="56">
        <v>5.3230000000000004</v>
      </c>
      <c r="O57" s="56">
        <v>5.2290000000000001</v>
      </c>
      <c r="P57" s="56">
        <v>14.36</v>
      </c>
      <c r="Q57" s="56">
        <v>22</v>
      </c>
      <c r="R57" s="56">
        <v>35</v>
      </c>
      <c r="S57" s="56">
        <f>ROUND(565,-1)</f>
        <v>570</v>
      </c>
      <c r="T57" s="56">
        <v>5.26</v>
      </c>
      <c r="U57" s="78"/>
      <c r="V57" s="49"/>
      <c r="W57" s="49"/>
      <c r="X57" s="49"/>
      <c r="Y57" s="49"/>
      <c r="Z57" s="49"/>
      <c r="AA57" s="49"/>
      <c r="AB57" s="49"/>
      <c r="AC57" s="49"/>
      <c r="AD57" s="50"/>
      <c r="AE57" s="49"/>
      <c r="AF57" s="51" t="s">
        <v>201</v>
      </c>
      <c r="AG57" s="56">
        <v>5.6749999999999998</v>
      </c>
      <c r="AH57" s="56">
        <v>5.9640000000000004</v>
      </c>
      <c r="AI57" s="56">
        <v>5.5919999999999996</v>
      </c>
      <c r="AJ57" s="56">
        <v>22</v>
      </c>
      <c r="AK57" s="56">
        <v>35</v>
      </c>
      <c r="AL57" s="56">
        <f>ROUND(498,-1)</f>
        <v>500</v>
      </c>
      <c r="AM57" s="56">
        <v>4.55</v>
      </c>
      <c r="AN57" s="49"/>
      <c r="AO57" s="51" t="s">
        <v>202</v>
      </c>
      <c r="AP57" s="56">
        <v>5.4429999999999996</v>
      </c>
      <c r="AQ57" s="56">
        <v>5.3609999999999998</v>
      </c>
      <c r="AR57" s="56">
        <v>5.827</v>
      </c>
      <c r="AS57" s="56">
        <v>19.87</v>
      </c>
      <c r="AT57" s="56">
        <v>22</v>
      </c>
      <c r="AU57" s="56">
        <v>35</v>
      </c>
      <c r="AV57" s="56">
        <f>ROUND(295,-1)</f>
        <v>300</v>
      </c>
      <c r="AW57" s="56">
        <v>15.46</v>
      </c>
    </row>
    <row r="58" spans="1:49" ht="15.75" thickBot="1">
      <c r="A58" s="49"/>
      <c r="B58" s="71"/>
      <c r="C58" s="51" t="s">
        <v>58</v>
      </c>
      <c r="D58" s="58">
        <f>ROUND(SUM(D50:D57)/COUNT(D50:D57), 2)</f>
        <v>5.7</v>
      </c>
      <c r="E58" s="58">
        <f>ROUND(SUM(E50:E57)/COUNT(E50:E57), 2)</f>
        <v>5.44</v>
      </c>
      <c r="F58" s="58">
        <f>ROUND(SUM(F50:F57)/COUNT(F50:F57), 2)</f>
        <v>5.09</v>
      </c>
      <c r="G58" s="58">
        <f t="shared" ref="G58" si="14">SUM(G50:G57)/COUNT(G50:G57)</f>
        <v>22</v>
      </c>
      <c r="H58" s="58">
        <f t="shared" ref="H58" si="15">SUM(H50:H57)/COUNT(H50:H57)</f>
        <v>35</v>
      </c>
      <c r="I58" s="58">
        <f>ROUND(SUM(I50:I57)/COUNT(I50:I57), -1)</f>
        <v>610</v>
      </c>
      <c r="J58" s="58">
        <f>ROUND(SUM(J50:J57)/COUNT(J50:J57), 2)</f>
        <v>4.8</v>
      </c>
      <c r="K58" s="49"/>
      <c r="L58" s="51" t="s">
        <v>58</v>
      </c>
      <c r="M58" s="58">
        <f>ROUND(SUM(M50:M57)/COUNT(M50:M57), 2)</f>
        <v>5.88</v>
      </c>
      <c r="N58" s="58">
        <f>ROUND(SUM(N50:N57)/COUNT(N50:N57), 2)</f>
        <v>5.61</v>
      </c>
      <c r="O58" s="58">
        <f>ROUND(SUM(O50:O57)/COUNT(O50:O57), 2)</f>
        <v>5.31</v>
      </c>
      <c r="P58" s="58">
        <f>ROUND(SUM(P50:P57)/COUNT(P50:P57), 2)</f>
        <v>12.63</v>
      </c>
      <c r="Q58" s="58">
        <f t="shared" ref="Q58" si="16">SUM(Q50:Q57)/COUNT(Q50:Q57)</f>
        <v>22</v>
      </c>
      <c r="R58" s="58">
        <f t="shared" ref="R58" si="17">SUM(R50:R57)/COUNT(R50:R57)</f>
        <v>35</v>
      </c>
      <c r="S58" s="58">
        <f>ROUND(SUM(S50:S57)/COUNT(S50:S57), -1)</f>
        <v>560</v>
      </c>
      <c r="T58" s="58">
        <f>ROUND(SUM(T50:T57)/COUNT(T50:T57), 2)</f>
        <v>5.45</v>
      </c>
      <c r="U58" s="64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51" t="s">
        <v>58</v>
      </c>
      <c r="AG58" s="58">
        <f>ROUND(SUM(AG50:AG57)/COUNT(AG50:AG57), 2)</f>
        <v>5.46</v>
      </c>
      <c r="AH58" s="58">
        <f>ROUND(SUM(AH50:AH57)/COUNT(AH50:AH57), 2)</f>
        <v>5.92</v>
      </c>
      <c r="AI58" s="58">
        <f>ROUND(SUM(AI50:AI57)/COUNT(AI50:AI57), 2)</f>
        <v>5.38</v>
      </c>
      <c r="AJ58" s="58">
        <f>ROUND(SUM(AJ50:AJ57)/COUNT(AJ50:AJ57), 2)</f>
        <v>22</v>
      </c>
      <c r="AK58" s="58">
        <f>ROUND(SUM(AK50:AK57)/COUNT(AK50:AK57), 2)</f>
        <v>35</v>
      </c>
      <c r="AL58" s="58">
        <f>ROUND(SUM(AL50:AL57)/COUNT(AL50:AL57), -1)</f>
        <v>520</v>
      </c>
      <c r="AM58" s="58">
        <f>ROUND(SUM(AM50:AM57)/COUNT(AM50:AM57), 2)</f>
        <v>6.17</v>
      </c>
      <c r="AN58" s="65"/>
      <c r="AO58" s="51" t="s">
        <v>58</v>
      </c>
      <c r="AP58" s="58">
        <f t="shared" ref="AP58:AU58" si="18">ROUND(SUM(AP50:AP57)/COUNT(AP50:AP57), 2)</f>
        <v>5.94</v>
      </c>
      <c r="AQ58" s="58">
        <f t="shared" si="18"/>
        <v>6.04</v>
      </c>
      <c r="AR58" s="58">
        <f t="shared" si="18"/>
        <v>5.8</v>
      </c>
      <c r="AS58" s="58">
        <f t="shared" si="18"/>
        <v>19.5</v>
      </c>
      <c r="AT58" s="58">
        <f t="shared" si="18"/>
        <v>22</v>
      </c>
      <c r="AU58" s="58">
        <f t="shared" si="18"/>
        <v>35</v>
      </c>
      <c r="AV58" s="58">
        <f>ROUND(SUM(AV50:AV57)/COUNT(AV50:AV57), -1)</f>
        <v>330</v>
      </c>
      <c r="AW58" s="58">
        <f>ROUND(SUM(AW50:AW57)/COUNT(AW50:AW57), 2)</f>
        <v>13.31</v>
      </c>
    </row>
    <row r="59" spans="1:49">
      <c r="A59" s="49"/>
      <c r="B59" s="71"/>
      <c r="C59" s="71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64"/>
      <c r="U59" s="64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</row>
    <row r="60" spans="1:49" ht="15.75" thickBot="1">
      <c r="A60" s="49"/>
      <c r="B60" s="71"/>
      <c r="C60" s="71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64"/>
      <c r="U60" s="64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</row>
    <row r="61" spans="1:49">
      <c r="B61" s="71"/>
      <c r="C61" s="101" t="s">
        <v>203</v>
      </c>
      <c r="D61" s="102"/>
      <c r="E61" s="102"/>
      <c r="F61" s="102"/>
      <c r="G61" s="102"/>
      <c r="H61" s="102"/>
      <c r="I61" s="102"/>
      <c r="J61" s="103"/>
      <c r="K61" s="49"/>
      <c r="L61" s="94" t="s">
        <v>204</v>
      </c>
      <c r="M61" s="94"/>
      <c r="N61" s="94"/>
      <c r="O61" s="94"/>
      <c r="P61" s="94"/>
      <c r="Q61" s="94"/>
      <c r="R61" s="94"/>
      <c r="S61" s="94"/>
      <c r="T61" s="94"/>
      <c r="U61" s="64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101" t="s">
        <v>205</v>
      </c>
      <c r="AG61" s="102"/>
      <c r="AH61" s="102"/>
      <c r="AI61" s="102"/>
      <c r="AJ61" s="102"/>
      <c r="AK61" s="102"/>
      <c r="AL61" s="102"/>
      <c r="AM61" s="103"/>
      <c r="AN61" s="49"/>
      <c r="AO61" s="101" t="s">
        <v>169</v>
      </c>
      <c r="AP61" s="102"/>
      <c r="AQ61" s="102"/>
      <c r="AR61" s="102"/>
      <c r="AS61" s="102"/>
      <c r="AT61" s="102"/>
      <c r="AU61" s="102"/>
      <c r="AV61" s="102"/>
      <c r="AW61" s="103"/>
    </row>
    <row r="62" spans="1:49">
      <c r="B62" s="71"/>
      <c r="C62" s="52"/>
      <c r="D62" s="91" t="s">
        <v>3</v>
      </c>
      <c r="E62" s="92"/>
      <c r="F62" s="93"/>
      <c r="G62" s="51" t="s">
        <v>4</v>
      </c>
      <c r="H62" s="52" t="s">
        <v>5</v>
      </c>
      <c r="I62" s="52" t="s">
        <v>6</v>
      </c>
      <c r="J62" s="52" t="s">
        <v>7</v>
      </c>
      <c r="K62" s="49"/>
      <c r="L62" s="60"/>
      <c r="M62" s="90" t="s">
        <v>3</v>
      </c>
      <c r="N62" s="90"/>
      <c r="O62" s="90"/>
      <c r="P62" s="90"/>
      <c r="Q62" s="60" t="s">
        <v>4</v>
      </c>
      <c r="R62" s="67" t="s">
        <v>5</v>
      </c>
      <c r="S62" s="67" t="s">
        <v>6</v>
      </c>
      <c r="T62" s="67" t="s">
        <v>7</v>
      </c>
      <c r="U62" s="64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52"/>
      <c r="AG62" s="91" t="s">
        <v>3</v>
      </c>
      <c r="AH62" s="92"/>
      <c r="AI62" s="93"/>
      <c r="AJ62" s="51" t="s">
        <v>4</v>
      </c>
      <c r="AK62" s="52" t="s">
        <v>5</v>
      </c>
      <c r="AL62" s="52" t="s">
        <v>6</v>
      </c>
      <c r="AM62" s="52" t="s">
        <v>7</v>
      </c>
      <c r="AN62" s="49"/>
      <c r="AO62" s="51"/>
      <c r="AP62" s="88" t="s">
        <v>3</v>
      </c>
      <c r="AQ62" s="88"/>
      <c r="AR62" s="88"/>
      <c r="AS62" s="88"/>
      <c r="AT62" s="51" t="s">
        <v>4</v>
      </c>
      <c r="AU62" s="52" t="s">
        <v>5</v>
      </c>
      <c r="AV62" s="52" t="s">
        <v>6</v>
      </c>
      <c r="AW62" s="52" t="s">
        <v>7</v>
      </c>
    </row>
    <row r="63" spans="1:49" ht="32.25" customHeight="1">
      <c r="B63" s="71"/>
      <c r="C63" s="51" t="s">
        <v>13</v>
      </c>
      <c r="D63" s="53" t="s">
        <v>14</v>
      </c>
      <c r="E63" s="53" t="s">
        <v>206</v>
      </c>
      <c r="F63" s="55"/>
      <c r="G63" s="53" t="s">
        <v>15</v>
      </c>
      <c r="H63" s="53" t="s">
        <v>16</v>
      </c>
      <c r="I63" s="53" t="s">
        <v>17</v>
      </c>
      <c r="J63" s="53" t="s">
        <v>16</v>
      </c>
      <c r="K63" s="49"/>
      <c r="L63" s="60" t="s">
        <v>18</v>
      </c>
      <c r="M63" s="68" t="s">
        <v>14</v>
      </c>
      <c r="N63" s="69" t="s">
        <v>19</v>
      </c>
      <c r="O63" s="69"/>
      <c r="P63" s="70"/>
      <c r="Q63" s="68" t="s">
        <v>15</v>
      </c>
      <c r="R63" s="68" t="s">
        <v>16</v>
      </c>
      <c r="S63" s="68" t="s">
        <v>17</v>
      </c>
      <c r="T63" s="68" t="s">
        <v>16</v>
      </c>
      <c r="U63" s="64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51" t="s">
        <v>13</v>
      </c>
      <c r="AG63" s="53" t="s">
        <v>14</v>
      </c>
      <c r="AH63" s="53" t="s">
        <v>80</v>
      </c>
      <c r="AI63" s="53" t="s">
        <v>207</v>
      </c>
      <c r="AJ63" s="53" t="s">
        <v>15</v>
      </c>
      <c r="AK63" s="53" t="s">
        <v>16</v>
      </c>
      <c r="AL63" s="53" t="s">
        <v>17</v>
      </c>
      <c r="AM63" s="53" t="s">
        <v>16</v>
      </c>
      <c r="AN63" s="49"/>
      <c r="AO63" s="51" t="s">
        <v>18</v>
      </c>
      <c r="AP63" s="53" t="s">
        <v>14</v>
      </c>
      <c r="AQ63" s="54" t="s">
        <v>80</v>
      </c>
      <c r="AR63" s="54" t="s">
        <v>208</v>
      </c>
      <c r="AS63" s="55" t="s">
        <v>19</v>
      </c>
      <c r="AT63" s="53" t="s">
        <v>15</v>
      </c>
      <c r="AU63" s="53" t="s">
        <v>16</v>
      </c>
      <c r="AV63" s="53" t="s">
        <v>17</v>
      </c>
      <c r="AW63" s="53" t="s">
        <v>16</v>
      </c>
    </row>
    <row r="64" spans="1:49">
      <c r="B64" s="71"/>
      <c r="C64" s="60" t="s">
        <v>209</v>
      </c>
      <c r="D64" s="61">
        <v>5.617</v>
      </c>
      <c r="E64" s="61">
        <v>5.875</v>
      </c>
      <c r="F64" s="61"/>
      <c r="G64" s="61">
        <v>22</v>
      </c>
      <c r="H64" s="62">
        <v>35</v>
      </c>
      <c r="I64" s="61">
        <f>ROUND(489, -1)</f>
        <v>490</v>
      </c>
      <c r="J64" s="61">
        <v>5.53</v>
      </c>
      <c r="K64" s="49"/>
      <c r="L64" s="60" t="s">
        <v>210</v>
      </c>
      <c r="M64" s="62">
        <v>5.9210000000000003</v>
      </c>
      <c r="N64" s="62">
        <v>19.75</v>
      </c>
      <c r="O64" s="62"/>
      <c r="P64" s="62"/>
      <c r="Q64" s="62">
        <v>22</v>
      </c>
      <c r="R64" s="62">
        <v>35</v>
      </c>
      <c r="S64" s="62">
        <f>ROUND(348,-1)</f>
        <v>350</v>
      </c>
      <c r="T64" s="62">
        <v>11.01</v>
      </c>
      <c r="U64" s="64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51" t="s">
        <v>211</v>
      </c>
      <c r="AG64" s="56">
        <v>5.83</v>
      </c>
      <c r="AH64" s="56"/>
      <c r="AI64" s="56"/>
      <c r="AJ64" s="56">
        <v>22</v>
      </c>
      <c r="AK64" s="56">
        <v>35</v>
      </c>
      <c r="AL64" s="56">
        <v>740</v>
      </c>
      <c r="AM64" s="56">
        <v>3.29</v>
      </c>
      <c r="AN64" s="49"/>
      <c r="AO64" s="51" t="s">
        <v>212</v>
      </c>
      <c r="AP64" s="56">
        <v>5.74</v>
      </c>
      <c r="AQ64" s="56"/>
      <c r="AR64" s="56"/>
      <c r="AS64" s="56">
        <v>17.72</v>
      </c>
      <c r="AT64" s="56">
        <v>22</v>
      </c>
      <c r="AU64" s="56">
        <v>35</v>
      </c>
      <c r="AV64" s="56">
        <v>380</v>
      </c>
      <c r="AW64" s="56">
        <v>6.08</v>
      </c>
    </row>
    <row r="65" spans="2:49">
      <c r="B65" s="71"/>
      <c r="C65" s="60" t="s">
        <v>213</v>
      </c>
      <c r="D65" s="62">
        <v>5.734</v>
      </c>
      <c r="E65" s="62">
        <v>6.5970000000000004</v>
      </c>
      <c r="F65" s="62"/>
      <c r="G65" s="61">
        <v>22</v>
      </c>
      <c r="H65" s="62">
        <v>35</v>
      </c>
      <c r="I65" s="61">
        <f>ROUND(475, -1)</f>
        <v>480</v>
      </c>
      <c r="J65" s="62">
        <v>8.59</v>
      </c>
      <c r="K65" s="49"/>
      <c r="L65" s="60" t="s">
        <v>214</v>
      </c>
      <c r="M65" s="62">
        <v>5.5970000000000004</v>
      </c>
      <c r="N65" s="62">
        <v>19.132999999999999</v>
      </c>
      <c r="O65" s="62"/>
      <c r="P65" s="62"/>
      <c r="Q65" s="62">
        <v>22</v>
      </c>
      <c r="R65" s="62">
        <v>35</v>
      </c>
      <c r="S65" s="62">
        <f>ROUND(274,-1)</f>
        <v>270</v>
      </c>
      <c r="T65" s="62">
        <v>8.68</v>
      </c>
      <c r="U65" s="64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51" t="s">
        <v>215</v>
      </c>
      <c r="AG65" s="56">
        <v>5.68</v>
      </c>
      <c r="AH65" s="56">
        <v>5.35</v>
      </c>
      <c r="AI65" s="56"/>
      <c r="AJ65" s="56">
        <v>22</v>
      </c>
      <c r="AK65" s="56">
        <v>35</v>
      </c>
      <c r="AL65" s="56">
        <v>600</v>
      </c>
      <c r="AM65" s="56">
        <v>5.39</v>
      </c>
      <c r="AN65" s="49"/>
      <c r="AO65" s="51" t="s">
        <v>216</v>
      </c>
      <c r="AP65" s="56">
        <v>5.83</v>
      </c>
      <c r="AQ65" s="56">
        <v>5.49</v>
      </c>
      <c r="AR65" s="56"/>
      <c r="AS65" s="56"/>
      <c r="AT65" s="56">
        <v>22</v>
      </c>
      <c r="AU65" s="56">
        <v>35</v>
      </c>
      <c r="AV65" s="56">
        <v>670</v>
      </c>
      <c r="AW65" s="56">
        <v>5.19</v>
      </c>
    </row>
    <row r="66" spans="2:49">
      <c r="B66" s="71"/>
      <c r="C66" s="60" t="s">
        <v>217</v>
      </c>
      <c r="D66" s="62">
        <v>5.57</v>
      </c>
      <c r="E66" s="62">
        <v>5.8109999999999999</v>
      </c>
      <c r="F66" s="62"/>
      <c r="G66" s="61">
        <v>22</v>
      </c>
      <c r="H66" s="62">
        <v>35</v>
      </c>
      <c r="I66" s="61">
        <f>ROUND(501, -1)</f>
        <v>500</v>
      </c>
      <c r="J66" s="62">
        <v>7.11</v>
      </c>
      <c r="K66" s="49"/>
      <c r="L66" s="60" t="s">
        <v>218</v>
      </c>
      <c r="M66" s="62">
        <v>5.84</v>
      </c>
      <c r="N66" s="62">
        <v>20.344000000000001</v>
      </c>
      <c r="O66" s="62"/>
      <c r="P66" s="62"/>
      <c r="Q66" s="62">
        <v>22</v>
      </c>
      <c r="R66" s="62">
        <v>35</v>
      </c>
      <c r="S66" s="62">
        <f>ROUND(263,-1)</f>
        <v>260</v>
      </c>
      <c r="T66" s="62">
        <v>6.97</v>
      </c>
      <c r="U66" s="64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51" t="s">
        <v>219</v>
      </c>
      <c r="AG66" s="56">
        <v>5.72</v>
      </c>
      <c r="AH66" s="56">
        <v>5.84</v>
      </c>
      <c r="AI66" s="56">
        <v>5.39</v>
      </c>
      <c r="AJ66" s="56">
        <v>22</v>
      </c>
      <c r="AK66" s="56">
        <v>35</v>
      </c>
      <c r="AL66" s="56">
        <v>37</v>
      </c>
      <c r="AM66" s="56">
        <v>2.5</v>
      </c>
      <c r="AN66" s="49"/>
      <c r="AO66" s="51" t="s">
        <v>220</v>
      </c>
      <c r="AP66" s="56">
        <v>6</v>
      </c>
      <c r="AQ66" s="56">
        <v>6.23</v>
      </c>
      <c r="AR66" s="56">
        <v>5.5</v>
      </c>
      <c r="AS66" s="56">
        <v>14.14</v>
      </c>
      <c r="AT66" s="56">
        <v>22</v>
      </c>
      <c r="AU66" s="56">
        <v>35</v>
      </c>
      <c r="AV66" s="56">
        <v>16</v>
      </c>
      <c r="AW66" s="56">
        <v>1.61</v>
      </c>
    </row>
    <row r="67" spans="2:49" ht="15" customHeight="1">
      <c r="B67" s="71"/>
      <c r="C67" s="60" t="s">
        <v>221</v>
      </c>
      <c r="D67" s="62">
        <v>5.7350000000000003</v>
      </c>
      <c r="E67" s="62">
        <v>5.9889999999999999</v>
      </c>
      <c r="F67" s="62"/>
      <c r="G67" s="61">
        <v>22</v>
      </c>
      <c r="H67" s="62">
        <v>35</v>
      </c>
      <c r="I67" s="61">
        <f>ROUND(421, -1)</f>
        <v>420</v>
      </c>
      <c r="J67" s="62">
        <v>10.18</v>
      </c>
      <c r="K67" s="49"/>
      <c r="L67" s="60" t="s">
        <v>222</v>
      </c>
      <c r="M67" s="62">
        <v>6.0789999999999997</v>
      </c>
      <c r="N67" s="62">
        <v>21.166</v>
      </c>
      <c r="O67" s="62"/>
      <c r="P67" s="62"/>
      <c r="Q67" s="62">
        <v>22</v>
      </c>
      <c r="R67" s="62">
        <v>35</v>
      </c>
      <c r="S67" s="62">
        <f>ROUND(317,-1)</f>
        <v>320</v>
      </c>
      <c r="T67" s="62">
        <v>5.72</v>
      </c>
      <c r="U67" s="64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51" t="s">
        <v>223</v>
      </c>
      <c r="AG67" s="56">
        <v>5.7</v>
      </c>
      <c r="AH67" s="56">
        <v>5.44</v>
      </c>
      <c r="AI67" s="56">
        <v>5.09</v>
      </c>
      <c r="AJ67" s="56">
        <v>22</v>
      </c>
      <c r="AK67" s="56">
        <v>35</v>
      </c>
      <c r="AL67" s="56">
        <v>610</v>
      </c>
      <c r="AM67" s="56">
        <v>4.8</v>
      </c>
      <c r="AN67" s="49"/>
      <c r="AO67" s="51" t="s">
        <v>224</v>
      </c>
      <c r="AP67" s="56">
        <v>5.88</v>
      </c>
      <c r="AQ67" s="56">
        <v>5.61</v>
      </c>
      <c r="AR67" s="56">
        <v>5.31</v>
      </c>
      <c r="AS67" s="56">
        <v>12.63</v>
      </c>
      <c r="AT67" s="56">
        <v>22</v>
      </c>
      <c r="AU67" s="56">
        <v>35</v>
      </c>
      <c r="AV67" s="56">
        <v>560</v>
      </c>
      <c r="AW67" s="56">
        <v>5.45</v>
      </c>
    </row>
    <row r="68" spans="2:49" ht="16.5" customHeight="1">
      <c r="B68" s="71"/>
      <c r="C68" s="60" t="s">
        <v>225</v>
      </c>
      <c r="D68" s="62">
        <v>5.6619999999999999</v>
      </c>
      <c r="E68" s="62">
        <v>5.9640000000000004</v>
      </c>
      <c r="F68" s="62"/>
      <c r="G68" s="61">
        <v>22</v>
      </c>
      <c r="H68" s="62">
        <v>35</v>
      </c>
      <c r="I68" s="61">
        <f>ROUND(579, -1)</f>
        <v>580</v>
      </c>
      <c r="J68" s="62">
        <v>5.63</v>
      </c>
      <c r="K68" s="49"/>
      <c r="L68" s="60" t="s">
        <v>226</v>
      </c>
      <c r="M68" s="62"/>
      <c r="N68" s="62"/>
      <c r="O68" s="62"/>
      <c r="P68" s="62"/>
      <c r="Q68" s="62"/>
      <c r="R68" s="62"/>
      <c r="S68" s="62"/>
      <c r="T68" s="62"/>
      <c r="U68" s="64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51" t="s">
        <v>227</v>
      </c>
      <c r="AG68" s="56">
        <v>5.71</v>
      </c>
      <c r="AH68" s="56">
        <v>5.93</v>
      </c>
      <c r="AI68" s="56"/>
      <c r="AJ68" s="56">
        <v>22</v>
      </c>
      <c r="AK68" s="56">
        <v>35</v>
      </c>
      <c r="AL68" s="56">
        <v>470</v>
      </c>
      <c r="AM68" s="56">
        <v>6.71</v>
      </c>
      <c r="AN68" s="49"/>
      <c r="AO68" s="51" t="s">
        <v>228</v>
      </c>
      <c r="AP68" s="56">
        <v>5.81</v>
      </c>
      <c r="AQ68" s="56"/>
      <c r="AR68" s="56"/>
      <c r="AS68" s="56">
        <v>20.25</v>
      </c>
      <c r="AT68" s="56">
        <v>22</v>
      </c>
      <c r="AU68" s="56">
        <v>35</v>
      </c>
      <c r="AV68" s="56">
        <v>310</v>
      </c>
      <c r="AW68" s="56">
        <v>7.44</v>
      </c>
    </row>
    <row r="69" spans="2:49" ht="13.5" customHeight="1">
      <c r="B69" s="71"/>
      <c r="C69" s="60" t="s">
        <v>229</v>
      </c>
      <c r="D69" s="62">
        <v>5.819</v>
      </c>
      <c r="E69" s="62">
        <v>5.7649999999999997</v>
      </c>
      <c r="F69" s="62"/>
      <c r="G69" s="61">
        <v>22</v>
      </c>
      <c r="H69" s="62">
        <v>35</v>
      </c>
      <c r="I69" s="61">
        <f>ROUND(543, -1)</f>
        <v>540</v>
      </c>
      <c r="J69" s="62">
        <v>6.3</v>
      </c>
      <c r="K69" s="49"/>
      <c r="L69" s="60" t="s">
        <v>230</v>
      </c>
      <c r="M69" s="62">
        <v>5.7859999999999996</v>
      </c>
      <c r="N69" s="62">
        <v>20.356000000000002</v>
      </c>
      <c r="O69" s="62"/>
      <c r="P69" s="62"/>
      <c r="Q69" s="62">
        <v>22</v>
      </c>
      <c r="R69" s="62">
        <v>35</v>
      </c>
      <c r="S69" s="62">
        <f>ROUND(314,-1)</f>
        <v>310</v>
      </c>
      <c r="T69" s="62">
        <v>7.38</v>
      </c>
      <c r="U69" s="64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51" t="s">
        <v>231</v>
      </c>
      <c r="AG69" s="56">
        <v>5.76</v>
      </c>
      <c r="AH69" s="56">
        <v>6.07</v>
      </c>
      <c r="AI69" s="56"/>
      <c r="AJ69" s="56">
        <v>22</v>
      </c>
      <c r="AK69" s="56">
        <v>35</v>
      </c>
      <c r="AL69" s="56">
        <v>510</v>
      </c>
      <c r="AM69" s="56">
        <v>4.88</v>
      </c>
      <c r="AN69" s="49"/>
      <c r="AO69" s="51" t="s">
        <v>232</v>
      </c>
      <c r="AP69" s="56">
        <v>5.51</v>
      </c>
      <c r="AQ69" s="56">
        <v>5.57</v>
      </c>
      <c r="AR69" s="56"/>
      <c r="AS69" s="57">
        <v>17.21</v>
      </c>
      <c r="AT69" s="56">
        <v>22</v>
      </c>
      <c r="AU69" s="56">
        <v>35</v>
      </c>
      <c r="AV69" s="56">
        <v>320</v>
      </c>
      <c r="AW69" s="56">
        <v>5.56</v>
      </c>
    </row>
    <row r="70" spans="2:49">
      <c r="B70" s="71"/>
      <c r="C70" s="60" t="s">
        <v>233</v>
      </c>
      <c r="D70" s="62">
        <v>5.7329999999999997</v>
      </c>
      <c r="E70" s="62">
        <v>5.625</v>
      </c>
      <c r="F70" s="62"/>
      <c r="G70" s="61">
        <v>22</v>
      </c>
      <c r="H70" s="62">
        <v>35</v>
      </c>
      <c r="I70" s="61">
        <f>ROUND(418, -1)</f>
        <v>420</v>
      </c>
      <c r="J70" s="62">
        <v>5.82</v>
      </c>
      <c r="K70" s="49"/>
      <c r="L70" s="60" t="s">
        <v>234</v>
      </c>
      <c r="M70" s="62">
        <v>5.7169999999999996</v>
      </c>
      <c r="N70" s="62">
        <v>20.291</v>
      </c>
      <c r="O70" s="62"/>
      <c r="P70" s="62"/>
      <c r="Q70" s="62">
        <v>22</v>
      </c>
      <c r="R70" s="62">
        <v>35</v>
      </c>
      <c r="S70" s="62">
        <f>ROUND(287,-1)</f>
        <v>290</v>
      </c>
      <c r="T70" s="62">
        <v>5.93</v>
      </c>
      <c r="U70" s="64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51" t="s">
        <v>235</v>
      </c>
      <c r="AG70" s="56">
        <v>5.7</v>
      </c>
      <c r="AH70" s="79">
        <v>6.66</v>
      </c>
      <c r="AI70" s="56">
        <v>5.67</v>
      </c>
      <c r="AJ70" s="56">
        <v>22</v>
      </c>
      <c r="AK70" s="56">
        <v>35</v>
      </c>
      <c r="AL70" s="56">
        <v>430</v>
      </c>
      <c r="AM70" s="56">
        <v>4.72</v>
      </c>
      <c r="AN70" s="49"/>
      <c r="AO70" s="51" t="s">
        <v>236</v>
      </c>
      <c r="AP70" s="56">
        <v>5.56</v>
      </c>
      <c r="AQ70" s="56">
        <v>5.74</v>
      </c>
      <c r="AR70" s="56">
        <v>5.71</v>
      </c>
      <c r="AS70" s="56">
        <v>15.3</v>
      </c>
      <c r="AT70" s="56">
        <v>22</v>
      </c>
      <c r="AU70" s="56">
        <v>35</v>
      </c>
      <c r="AV70" s="56">
        <v>63</v>
      </c>
      <c r="AW70" s="56">
        <v>8.09</v>
      </c>
    </row>
    <row r="71" spans="2:49">
      <c r="B71" s="71"/>
      <c r="C71" s="60" t="s">
        <v>237</v>
      </c>
      <c r="D71" s="62">
        <v>5.8419999999999996</v>
      </c>
      <c r="E71" s="62">
        <v>5.7759999999999998</v>
      </c>
      <c r="F71" s="62"/>
      <c r="G71" s="61">
        <v>22</v>
      </c>
      <c r="H71" s="62">
        <v>35</v>
      </c>
      <c r="I71" s="61">
        <f>ROUND(301, -1)</f>
        <v>300</v>
      </c>
      <c r="J71" s="62">
        <v>4.54</v>
      </c>
      <c r="K71" s="49"/>
      <c r="L71" s="60" t="s">
        <v>238</v>
      </c>
      <c r="M71" s="62">
        <v>5.7569999999999997</v>
      </c>
      <c r="N71" s="62">
        <v>20.706</v>
      </c>
      <c r="O71" s="62"/>
      <c r="P71" s="62"/>
      <c r="Q71" s="62">
        <v>22</v>
      </c>
      <c r="R71" s="62">
        <v>35</v>
      </c>
      <c r="S71" s="62">
        <f>ROUND(335,-1)</f>
        <v>340</v>
      </c>
      <c r="T71" s="62">
        <v>6.36</v>
      </c>
      <c r="U71" s="64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51" t="s">
        <v>239</v>
      </c>
      <c r="AG71" s="56">
        <v>5.46</v>
      </c>
      <c r="AH71" s="56">
        <v>5.92</v>
      </c>
      <c r="AI71" s="56">
        <v>5.38</v>
      </c>
      <c r="AJ71" s="56">
        <v>22</v>
      </c>
      <c r="AK71" s="56">
        <v>35</v>
      </c>
      <c r="AL71" s="56">
        <v>520</v>
      </c>
      <c r="AM71" s="56">
        <v>6.17</v>
      </c>
      <c r="AN71" s="49"/>
      <c r="AO71" s="51" t="s">
        <v>240</v>
      </c>
      <c r="AP71" s="56">
        <v>5.94</v>
      </c>
      <c r="AQ71" s="56">
        <v>6.04</v>
      </c>
      <c r="AR71" s="56">
        <v>5.8</v>
      </c>
      <c r="AS71" s="56">
        <v>19.5</v>
      </c>
      <c r="AT71" s="56">
        <v>22</v>
      </c>
      <c r="AU71" s="56">
        <v>35</v>
      </c>
      <c r="AV71" s="56">
        <v>330</v>
      </c>
      <c r="AW71" s="56">
        <v>13.31</v>
      </c>
    </row>
    <row r="72" spans="2:49" ht="14.25" customHeight="1" thickBot="1">
      <c r="B72" s="71"/>
      <c r="C72" s="60" t="s">
        <v>58</v>
      </c>
      <c r="D72" s="63">
        <f>ROUND(SUM(D64:D71)/COUNT(D64:D71), 2)</f>
        <v>5.71</v>
      </c>
      <c r="E72" s="63">
        <f>ROUND(SUM(E64:E71)/COUNT(E64:E71), 2)</f>
        <v>5.93</v>
      </c>
      <c r="F72" s="63"/>
      <c r="G72" s="63">
        <f>ROUND(SUM(G64:G71)/COUNT(G64:G71), 2)</f>
        <v>22</v>
      </c>
      <c r="H72" s="63">
        <f>ROUND(SUM(H64:H71)/COUNT(H64:H71), 2)</f>
        <v>35</v>
      </c>
      <c r="I72" s="63">
        <f>ROUND(SUM(I64:I71)/COUNT(I64:I71), -1)</f>
        <v>470</v>
      </c>
      <c r="J72" s="63">
        <f>ROUND(SUM(J64:J71)/COUNT(J64:J71), 2)</f>
        <v>6.71</v>
      </c>
      <c r="K72" s="65"/>
      <c r="L72" s="60" t="s">
        <v>58</v>
      </c>
      <c r="M72" s="63">
        <f>ROUND(SUM(M64:M71)/COUNT(M64:M71), 2)</f>
        <v>5.81</v>
      </c>
      <c r="N72" s="63">
        <f>ROUND(SUM(N64:N71)/COUNT(N64:N71), 2)</f>
        <v>20.25</v>
      </c>
      <c r="O72" s="63"/>
      <c r="P72" s="63"/>
      <c r="Q72" s="63">
        <f>ROUND(SUM(Q64:Q71)/COUNT(Q64:Q71), 2)</f>
        <v>22</v>
      </c>
      <c r="R72" s="63">
        <f>ROUND(SUM(R64:R71)/COUNT(R64:R71), 2)</f>
        <v>35</v>
      </c>
      <c r="S72" s="63">
        <f>ROUND(SUM(S64:S71)/COUNT(S64:S71), -1)</f>
        <v>310</v>
      </c>
      <c r="T72" s="63">
        <f>ROUND(SUM(T64:T71)/COUNT(T64:T71), 2)</f>
        <v>7.44</v>
      </c>
      <c r="U72" s="64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51" t="s">
        <v>58</v>
      </c>
      <c r="AG72" s="58">
        <f>ROUND(SUM(AG64:AG71)/COUNT(AG64:AG71), 2)</f>
        <v>5.7</v>
      </c>
      <c r="AH72" s="58">
        <f>ROUND(SUM(AH64:AH71)/COUNT(AH64:AH71), 2)</f>
        <v>5.89</v>
      </c>
      <c r="AI72" s="58">
        <f>ROUND(SUM(AI64:AI71)/COUNT(AI64:AI71), 2)</f>
        <v>5.38</v>
      </c>
      <c r="AJ72" s="58">
        <f>ROUND(SUM(AJ64:AJ71)/COUNT(AJ64:AJ71), 2)</f>
        <v>22</v>
      </c>
      <c r="AK72" s="58">
        <f>ROUND(SUM(AK64:AK71)/COUNT(AK64:AK71), 2)</f>
        <v>35</v>
      </c>
      <c r="AL72" s="58">
        <f>ROUND(SUM(AL64:AL71)/COUNT(AL64:AL71), -1)</f>
        <v>490</v>
      </c>
      <c r="AM72" s="58">
        <f>ROUND(SUM(AM64:AM71)/COUNT(AM64:AM71), 2)</f>
        <v>4.8099999999999996</v>
      </c>
      <c r="AN72" s="49"/>
      <c r="AO72" s="51" t="s">
        <v>58</v>
      </c>
      <c r="AP72" s="58">
        <f t="shared" ref="AP72:AU72" si="19">ROUND(SUM(AP64:AP71)/COUNT(AP64:AP71), 2)</f>
        <v>5.78</v>
      </c>
      <c r="AQ72" s="58">
        <f t="shared" si="19"/>
        <v>5.78</v>
      </c>
      <c r="AR72" s="58">
        <f t="shared" si="19"/>
        <v>5.58</v>
      </c>
      <c r="AS72" s="58">
        <f t="shared" si="19"/>
        <v>16.68</v>
      </c>
      <c r="AT72" s="58">
        <f t="shared" si="19"/>
        <v>22</v>
      </c>
      <c r="AU72" s="58">
        <f t="shared" si="19"/>
        <v>35</v>
      </c>
      <c r="AV72" s="58">
        <f>ROUND(SUM(AV64:AV71)/COUNT(AV64:AV71), -1)</f>
        <v>330</v>
      </c>
      <c r="AW72" s="58">
        <f>ROUND(SUM(AW64:AW71)/COUNT(AW64:AW71), 2)</f>
        <v>6.59</v>
      </c>
    </row>
    <row r="73" spans="2:49" ht="20.25" customHeight="1" thickBot="1">
      <c r="B73" s="72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6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M73" s="49"/>
      <c r="AN73" s="49"/>
      <c r="AO73" s="49"/>
      <c r="AP73" s="49"/>
      <c r="AQ73" s="49"/>
      <c r="AR73" s="49"/>
      <c r="AS73" s="49"/>
      <c r="AT73" s="49"/>
      <c r="AU73" s="49"/>
      <c r="AV73" s="49"/>
      <c r="AW73" s="49"/>
    </row>
    <row r="74" spans="2:49"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  <c r="AQ74" s="49"/>
      <c r="AR74" s="49"/>
      <c r="AS74" s="49"/>
      <c r="AT74" s="49"/>
      <c r="AU74" s="49"/>
      <c r="AV74" s="49"/>
      <c r="AW74" s="49"/>
    </row>
    <row r="75" spans="2:49"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M75" s="49"/>
      <c r="AN75" s="49"/>
      <c r="AO75" s="49"/>
      <c r="AP75" s="49"/>
      <c r="AQ75" s="49"/>
      <c r="AR75" s="49"/>
      <c r="AS75" s="49"/>
      <c r="AT75" s="49"/>
      <c r="AU75" s="49"/>
      <c r="AV75" s="49"/>
      <c r="AW75" s="49"/>
    </row>
    <row r="77" spans="2:49"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</row>
    <row r="78" spans="2:49" ht="15.75" thickBot="1"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</row>
    <row r="79" spans="2:49" ht="15.75" thickBot="1">
      <c r="J79" s="49"/>
      <c r="K79" s="49"/>
      <c r="L79" s="80" t="s">
        <v>241</v>
      </c>
      <c r="M79" s="81"/>
      <c r="N79" s="81"/>
      <c r="O79" s="81"/>
      <c r="P79" s="81"/>
      <c r="Q79" s="81"/>
      <c r="R79" s="81"/>
      <c r="S79" s="81"/>
      <c r="T79" s="82"/>
      <c r="U79" s="49"/>
      <c r="V79" s="49"/>
      <c r="W79" s="49"/>
      <c r="X79" s="49"/>
      <c r="Y79" s="49"/>
      <c r="Z79" s="49"/>
      <c r="AA79" s="49"/>
      <c r="AB79" s="49"/>
      <c r="AC79" s="49"/>
      <c r="AD79" s="49"/>
    </row>
    <row r="80" spans="2:49">
      <c r="J80" s="49"/>
      <c r="K80" s="49"/>
      <c r="L80" s="83"/>
      <c r="M80" s="89" t="s">
        <v>3</v>
      </c>
      <c r="N80" s="89"/>
      <c r="O80" s="89"/>
      <c r="P80" s="89"/>
      <c r="Q80" s="83" t="s">
        <v>4</v>
      </c>
      <c r="R80" s="84" t="s">
        <v>5</v>
      </c>
      <c r="S80" s="84" t="s">
        <v>6</v>
      </c>
      <c r="T80" s="84" t="s">
        <v>7</v>
      </c>
      <c r="U80" s="49"/>
      <c r="V80" s="49"/>
      <c r="W80" s="49"/>
      <c r="X80" s="49"/>
      <c r="Y80" s="49"/>
      <c r="Z80" s="49"/>
      <c r="AA80" s="49"/>
      <c r="AB80" s="49"/>
      <c r="AC80" s="49"/>
      <c r="AD80" s="49"/>
    </row>
    <row r="81" spans="10:30" ht="44.25" customHeight="1">
      <c r="J81" s="49"/>
      <c r="K81" s="49"/>
      <c r="L81" s="51" t="s">
        <v>18</v>
      </c>
      <c r="M81" s="53" t="s">
        <v>14</v>
      </c>
      <c r="N81" s="54" t="s">
        <v>80</v>
      </c>
      <c r="O81" s="54" t="s">
        <v>242</v>
      </c>
      <c r="P81" s="55" t="s">
        <v>19</v>
      </c>
      <c r="Q81" s="53" t="s">
        <v>15</v>
      </c>
      <c r="R81" s="53" t="s">
        <v>16</v>
      </c>
      <c r="S81" s="53" t="s">
        <v>17</v>
      </c>
      <c r="T81" s="53" t="s">
        <v>16</v>
      </c>
      <c r="U81" s="49"/>
      <c r="V81" s="49"/>
      <c r="W81" s="49"/>
      <c r="X81" s="49"/>
      <c r="Y81" s="49"/>
      <c r="Z81" s="49"/>
      <c r="AA81" s="49"/>
      <c r="AB81" s="49"/>
      <c r="AC81" s="49"/>
      <c r="AD81" s="49"/>
    </row>
    <row r="82" spans="10:30">
      <c r="J82" s="49"/>
      <c r="K82" s="49"/>
      <c r="L82" s="51" t="s">
        <v>81</v>
      </c>
      <c r="M82" s="56">
        <v>5.6029999999999998</v>
      </c>
      <c r="N82" s="56">
        <v>5.3970000000000002</v>
      </c>
      <c r="O82" s="56"/>
      <c r="P82" s="56"/>
      <c r="Q82" s="56">
        <v>22</v>
      </c>
      <c r="R82" s="56">
        <v>35</v>
      </c>
      <c r="S82" s="56">
        <f>ROUND(433,-1)</f>
        <v>430</v>
      </c>
      <c r="T82" s="56">
        <v>26.45</v>
      </c>
      <c r="U82" s="49"/>
      <c r="V82" s="49"/>
      <c r="W82" s="49"/>
      <c r="X82" s="49"/>
      <c r="Y82" s="49"/>
      <c r="Z82" s="49"/>
      <c r="AA82" s="49"/>
      <c r="AB82" s="49"/>
      <c r="AC82" s="49"/>
      <c r="AD82" s="49"/>
    </row>
    <row r="83" spans="10:30">
      <c r="J83" s="49"/>
      <c r="K83" s="49"/>
      <c r="L83" s="51" t="s">
        <v>226</v>
      </c>
      <c r="M83" s="56">
        <v>5.8970000000000002</v>
      </c>
      <c r="N83" s="56"/>
      <c r="O83" s="56"/>
      <c r="P83" s="56">
        <v>20.611999999999998</v>
      </c>
      <c r="Q83" s="56">
        <v>22</v>
      </c>
      <c r="R83" s="56">
        <v>35</v>
      </c>
      <c r="S83" s="56">
        <f>ROUND(356, -1)</f>
        <v>360</v>
      </c>
      <c r="T83" s="56">
        <v>34.94</v>
      </c>
      <c r="U83" s="49"/>
      <c r="V83" s="49"/>
      <c r="W83" s="49"/>
      <c r="X83" s="49"/>
      <c r="Y83" s="49"/>
      <c r="Z83" s="49"/>
      <c r="AA83" s="49"/>
      <c r="AB83" s="49"/>
      <c r="AC83" s="49"/>
      <c r="AD83" s="49"/>
    </row>
    <row r="84" spans="10:30">
      <c r="J84" s="49"/>
      <c r="K84" s="49"/>
      <c r="L84" s="51" t="s">
        <v>28</v>
      </c>
      <c r="M84" s="56">
        <v>5.7949999999999999</v>
      </c>
      <c r="N84" s="56"/>
      <c r="O84" s="56"/>
      <c r="P84" s="56">
        <v>19.873999999999999</v>
      </c>
      <c r="Q84" s="56">
        <v>22</v>
      </c>
      <c r="R84" s="56">
        <v>35</v>
      </c>
      <c r="S84" s="56">
        <f>ROUND(325,-1)</f>
        <v>330</v>
      </c>
      <c r="T84" s="56">
        <v>18.649999999999999</v>
      </c>
      <c r="U84" s="49"/>
      <c r="V84" s="49"/>
      <c r="W84" s="49"/>
      <c r="X84" s="49"/>
      <c r="Y84" s="49"/>
      <c r="Z84" s="49"/>
      <c r="AA84" s="49"/>
      <c r="AB84" s="49"/>
      <c r="AC84" s="49"/>
      <c r="AD84" s="49"/>
    </row>
    <row r="85" spans="10:30">
      <c r="J85" s="49"/>
      <c r="K85" s="49"/>
      <c r="L85" s="51" t="s">
        <v>38</v>
      </c>
      <c r="M85" s="56">
        <v>5.6840000000000002</v>
      </c>
      <c r="N85" s="56"/>
      <c r="O85" s="56"/>
      <c r="P85" s="56">
        <v>17.911000000000001</v>
      </c>
      <c r="Q85" s="56">
        <v>22</v>
      </c>
      <c r="R85" s="56">
        <v>35</v>
      </c>
      <c r="S85" s="56">
        <f>ROUND(294,-1)</f>
        <v>290</v>
      </c>
      <c r="T85" s="56">
        <v>46.58</v>
      </c>
      <c r="U85" s="49"/>
      <c r="V85" s="49"/>
      <c r="W85" s="49"/>
      <c r="X85" s="49"/>
      <c r="Y85" s="49"/>
      <c r="Z85" s="49"/>
      <c r="AA85" s="49"/>
      <c r="AB85" s="49"/>
      <c r="AC85" s="49"/>
      <c r="AD85" s="49"/>
    </row>
    <row r="86" spans="10:30">
      <c r="J86" s="49"/>
      <c r="K86" s="49"/>
      <c r="L86" s="51" t="s">
        <v>114</v>
      </c>
      <c r="M86" s="56">
        <v>5.4420000000000002</v>
      </c>
      <c r="N86" s="56">
        <v>5.4409999999999998</v>
      </c>
      <c r="O86" s="56"/>
      <c r="P86" s="56">
        <v>17.193000000000001</v>
      </c>
      <c r="Q86" s="56">
        <v>22</v>
      </c>
      <c r="R86" s="56">
        <v>35</v>
      </c>
      <c r="S86" s="56">
        <f>ROUND(256,-1)</f>
        <v>260</v>
      </c>
      <c r="T86" s="56">
        <v>45.47</v>
      </c>
      <c r="U86" s="49"/>
      <c r="V86" s="49"/>
      <c r="W86" s="49"/>
      <c r="X86" s="49"/>
      <c r="Y86" s="49"/>
      <c r="Z86" s="49"/>
      <c r="AA86" s="49"/>
      <c r="AB86" s="49"/>
      <c r="AC86" s="49"/>
      <c r="AD86" s="49"/>
    </row>
    <row r="87" spans="10:30">
      <c r="J87" s="49"/>
      <c r="K87" s="49"/>
      <c r="L87" s="51" t="s">
        <v>126</v>
      </c>
      <c r="M87" s="56">
        <v>5.444</v>
      </c>
      <c r="N87" s="56">
        <v>5.3419999999999996</v>
      </c>
      <c r="O87" s="56"/>
      <c r="P87" s="56">
        <v>16.875</v>
      </c>
      <c r="Q87" s="56">
        <v>22</v>
      </c>
      <c r="R87" s="56">
        <v>35</v>
      </c>
      <c r="S87" s="56">
        <f>ROUND(237,-1)</f>
        <v>240</v>
      </c>
      <c r="T87" s="56">
        <v>41.55</v>
      </c>
      <c r="U87" s="49"/>
      <c r="V87" s="49"/>
      <c r="W87" s="49"/>
      <c r="X87" s="49"/>
      <c r="Y87" s="49"/>
      <c r="Z87" s="49"/>
      <c r="AA87" s="49"/>
      <c r="AB87" s="49"/>
      <c r="AC87" s="49"/>
      <c r="AD87" s="49"/>
    </row>
    <row r="88" spans="10:30">
      <c r="J88" s="49"/>
      <c r="K88" s="49"/>
      <c r="L88" s="51" t="s">
        <v>167</v>
      </c>
      <c r="M88" s="56">
        <v>5.7160000000000002</v>
      </c>
      <c r="N88" s="56">
        <v>6.2450000000000001</v>
      </c>
      <c r="O88" s="56">
        <v>5.7770000000000001</v>
      </c>
      <c r="P88" s="56"/>
      <c r="Q88" s="56">
        <v>22</v>
      </c>
      <c r="R88" s="56">
        <v>35</v>
      </c>
      <c r="S88" s="56">
        <f>ROUND(369,-1)</f>
        <v>370</v>
      </c>
      <c r="T88" s="56">
        <v>25.82</v>
      </c>
      <c r="U88" s="49"/>
      <c r="V88" s="49"/>
      <c r="W88" s="49"/>
      <c r="X88" s="49"/>
      <c r="Y88" s="49"/>
      <c r="Z88" s="49"/>
      <c r="AA88" s="49"/>
      <c r="AB88" s="49"/>
      <c r="AC88" s="49"/>
      <c r="AD88" s="49"/>
    </row>
    <row r="89" spans="10:30">
      <c r="J89" s="49"/>
      <c r="K89" s="49"/>
      <c r="L89" s="51" t="s">
        <v>198</v>
      </c>
      <c r="M89" s="56">
        <v>5.43</v>
      </c>
      <c r="N89" s="56">
        <v>5.7770000000000001</v>
      </c>
      <c r="O89" s="56">
        <v>5.6029999999999998</v>
      </c>
      <c r="P89" s="56">
        <v>18.754000000000001</v>
      </c>
      <c r="Q89" s="56">
        <v>22</v>
      </c>
      <c r="R89" s="56">
        <v>35</v>
      </c>
      <c r="S89" s="56">
        <f>ROUND(359,-1)</f>
        <v>360</v>
      </c>
      <c r="T89" s="56">
        <v>42.26</v>
      </c>
      <c r="U89" s="49"/>
      <c r="V89" s="49"/>
      <c r="W89" s="49"/>
      <c r="X89" s="49"/>
      <c r="Y89" s="49"/>
      <c r="Z89" s="49"/>
      <c r="AA89" s="49"/>
      <c r="AB89" s="49"/>
      <c r="AC89" s="49"/>
      <c r="AD89" s="49"/>
    </row>
    <row r="90" spans="10:30"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</row>
    <row r="91" spans="10:30"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</row>
  </sheetData>
  <mergeCells count="42">
    <mergeCell ref="C3:T4"/>
    <mergeCell ref="L5:T5"/>
    <mergeCell ref="L19:T19"/>
    <mergeCell ref="L33:T33"/>
    <mergeCell ref="L47:T47"/>
    <mergeCell ref="C47:J47"/>
    <mergeCell ref="C5:J5"/>
    <mergeCell ref="C19:J19"/>
    <mergeCell ref="C33:J33"/>
    <mergeCell ref="D6:F6"/>
    <mergeCell ref="D20:F20"/>
    <mergeCell ref="M6:P6"/>
    <mergeCell ref="M20:P20"/>
    <mergeCell ref="M34:P34"/>
    <mergeCell ref="BB26:BF26"/>
    <mergeCell ref="BB12:BG12"/>
    <mergeCell ref="C61:J61"/>
    <mergeCell ref="AF17:AW18"/>
    <mergeCell ref="BA28:BA31"/>
    <mergeCell ref="AF47:AM47"/>
    <mergeCell ref="AO47:AW47"/>
    <mergeCell ref="AF19:AM19"/>
    <mergeCell ref="AO19:AW19"/>
    <mergeCell ref="AF33:AM33"/>
    <mergeCell ref="AO33:AW33"/>
    <mergeCell ref="AF61:AM61"/>
    <mergeCell ref="AO61:AW61"/>
    <mergeCell ref="M48:P48"/>
    <mergeCell ref="AG20:AI20"/>
    <mergeCell ref="D34:F34"/>
    <mergeCell ref="D48:F48"/>
    <mergeCell ref="D62:F62"/>
    <mergeCell ref="AG48:AI48"/>
    <mergeCell ref="AG62:AI62"/>
    <mergeCell ref="AG34:AI34"/>
    <mergeCell ref="L61:T61"/>
    <mergeCell ref="AP20:AS20"/>
    <mergeCell ref="AP34:AS34"/>
    <mergeCell ref="AP48:AS48"/>
    <mergeCell ref="AP62:AS62"/>
    <mergeCell ref="M80:P80"/>
    <mergeCell ref="M62:P62"/>
  </mergeCells>
  <phoneticPr fontId="2" type="noConversion"/>
  <hyperlinks>
    <hyperlink ref="BG14" r:id="rId1" xr:uid="{83781ABB-E8CA-4C86-BA14-4C3F296D768A}"/>
    <hyperlink ref="BG23" r:id="rId2" xr:uid="{E671F69D-4A79-419C-AAB4-C34C66B3ABC7}"/>
    <hyperlink ref="BG15" r:id="rId3" xr:uid="{1B3A3ACC-8068-4FF9-AFEA-AE557F78D61A}"/>
    <hyperlink ref="BG16" r:id="rId4" xr:uid="{40C74637-FC60-4C08-8E65-E75F2B9A08EA}"/>
    <hyperlink ref="BG22" r:id="rId5" xr:uid="{F3D42ED9-39D5-4745-8952-BFF8146F9CD4}"/>
    <hyperlink ref="BG20" r:id="rId6" xr:uid="{3253EC61-CE74-40ED-AC50-A08DDDC6A752}"/>
    <hyperlink ref="BG18" r:id="rId7" xr:uid="{BCACCCC2-C9ED-49BE-B8E4-CB12F25C5BDF}"/>
    <hyperlink ref="BG17" r:id="rId8" xr:uid="{B9DB8C6F-915F-4753-9814-C93B77B6B140}"/>
  </hyperlinks>
  <pageMargins left="0.7" right="0.7" top="0.75" bottom="0.75" header="0.3" footer="0.3"/>
  <pageSetup orientation="portrait" r:id="rId9"/>
  <ignoredErrors>
    <ignoredError sqref="R44" evalError="1"/>
  </ignoredErrors>
  <drawing r:id="rId1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54181c-b190-4714-9caf-98b922eb2a90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79DEF5C24DD46449892ECF817D603FC" ma:contentTypeVersion="10" ma:contentTypeDescription="Create a new document." ma:contentTypeScope="" ma:versionID="956d86c7fe2ee03625f30776ea9a7824">
  <xsd:schema xmlns:xsd="http://www.w3.org/2001/XMLSchema" xmlns:xs="http://www.w3.org/2001/XMLSchema" xmlns:p="http://schemas.microsoft.com/office/2006/metadata/properties" xmlns:ns2="d654181c-b190-4714-9caf-98b922eb2a90" targetNamespace="http://schemas.microsoft.com/office/2006/metadata/properties" ma:root="true" ma:fieldsID="f849f8e41cd2ebb4b82849dad70e211d" ns2:_="">
    <xsd:import namespace="d654181c-b190-4714-9caf-98b922eb2a9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54181c-b190-4714-9caf-98b922eb2a9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1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ee5263c0-7114-47d3-8603-0e3ef132c9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976568-FC73-4616-9351-4CD1807B0C32}"/>
</file>

<file path=customXml/itemProps2.xml><?xml version="1.0" encoding="utf-8"?>
<ds:datastoreItem xmlns:ds="http://schemas.openxmlformats.org/officeDocument/2006/customXml" ds:itemID="{7F2C5F36-EC2C-4619-8923-6A6BA658342D}"/>
</file>

<file path=customXml/itemProps3.xml><?xml version="1.0" encoding="utf-8"?>
<ds:datastoreItem xmlns:ds="http://schemas.openxmlformats.org/officeDocument/2006/customXml" ds:itemID="{0E1F5FB1-6DA2-465B-9E01-9D98F9A9E6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Andrus</dc:creator>
  <cp:keywords/>
  <dc:description/>
  <cp:lastModifiedBy>Tanel Niitmets</cp:lastModifiedBy>
  <cp:revision/>
  <dcterms:created xsi:type="dcterms:W3CDTF">2023-02-14T07:09:28Z</dcterms:created>
  <dcterms:modified xsi:type="dcterms:W3CDTF">2023-04-25T03:31:27Z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0x010100479DEF5C24DD46449892ECF817D603FC</vt:lpwstr>
  </property>
  <property fmtid="{D5CDD505-2E9C-101B-9397-08002B2CF9AE}" pid="3" name="MediaServiceImageTags">
    <vt:lpwstr/>
  </property>
</Properties>
</file>