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intra.ttu.ee\home\tonis.hunt\Documents\Doktorantuur\2nd article\"/>
    </mc:Choice>
  </mc:AlternateContent>
  <xr:revisionPtr revIDLastSave="0" documentId="13_ncr:1_{5433A698-85C4-4476-AEF8-C8FE2DA65EDD}" xr6:coauthVersionLast="47" xr6:coauthVersionMax="47" xr10:uidLastSave="{00000000-0000-0000-0000-000000000000}"/>
  <bookViews>
    <workbookView xWindow="38280" yWindow="-120" windowWidth="38640" windowHeight="21120" tabRatio="669" xr2:uid="{9BE5C296-7BF0-49C2-8076-193C06C259BC}"/>
  </bookViews>
  <sheets>
    <sheet name="Ro-Pax" sheetId="18" r:id="rId1"/>
    <sheet name="Cruise vessel" sheetId="17" r:id="rId2"/>
    <sheet name="Ro-Ro" sheetId="15" r:id="rId3"/>
    <sheet name="Container vessel" sheetId="16" r:id="rId4"/>
    <sheet name="Bulker" sheetId="20" r:id="rId5"/>
    <sheet name="Tanker" sheetId="21" r:id="rId6"/>
    <sheet name="General Cargo Vessel" sheetId="19" r:id="rId7"/>
    <sheet name="Ice-class comparison" sheetId="13" state="hidden"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19" l="1"/>
  <c r="D9" i="19"/>
  <c r="E9" i="19"/>
  <c r="F9" i="19"/>
  <c r="F22" i="19" s="1"/>
  <c r="H9" i="19"/>
  <c r="H22" i="19" s="1"/>
  <c r="G10" i="19"/>
  <c r="G22" i="19" s="1"/>
  <c r="H10" i="19"/>
  <c r="G11" i="19"/>
  <c r="H11" i="19"/>
  <c r="C12" i="19"/>
  <c r="D12" i="19"/>
  <c r="E12" i="19"/>
  <c r="F12" i="19"/>
  <c r="G12" i="19"/>
  <c r="H12" i="19"/>
  <c r="C13" i="19"/>
  <c r="D13" i="19"/>
  <c r="E13" i="19"/>
  <c r="G14" i="19"/>
  <c r="H14" i="19"/>
  <c r="F16" i="19"/>
  <c r="F17" i="19"/>
  <c r="E18" i="19"/>
  <c r="F18" i="19"/>
  <c r="C19" i="19"/>
  <c r="D19" i="19"/>
  <c r="E19" i="19"/>
  <c r="F19" i="19"/>
  <c r="H19" i="19"/>
  <c r="C20" i="19"/>
  <c r="C22" i="19" s="1"/>
  <c r="D20" i="19"/>
  <c r="E20" i="19"/>
  <c r="F20" i="19"/>
  <c r="G20" i="19"/>
  <c r="H20" i="19"/>
  <c r="D22" i="19"/>
  <c r="E22" i="19"/>
  <c r="L18" i="16" l="1"/>
  <c r="L19" i="16"/>
  <c r="L20" i="16"/>
  <c r="N20" i="16" s="1"/>
  <c r="I20" i="17"/>
  <c r="G20" i="17"/>
  <c r="E20" i="17"/>
  <c r="H22" i="21"/>
  <c r="G22" i="21"/>
  <c r="F22" i="21"/>
  <c r="E22" i="21"/>
  <c r="D22" i="21"/>
  <c r="C22" i="21"/>
  <c r="H21" i="21"/>
  <c r="G21" i="21"/>
  <c r="F21" i="21"/>
  <c r="D21" i="21"/>
  <c r="C21" i="21"/>
  <c r="H20" i="21"/>
  <c r="G20" i="21"/>
  <c r="G19" i="21"/>
  <c r="G18" i="21"/>
  <c r="G17" i="21"/>
  <c r="F16" i="21"/>
  <c r="E16" i="21"/>
  <c r="D15" i="21"/>
  <c r="C15" i="21"/>
  <c r="H14" i="21"/>
  <c r="G14" i="21"/>
  <c r="F14" i="21"/>
  <c r="E14" i="21"/>
  <c r="D14" i="21"/>
  <c r="C14" i="21"/>
  <c r="H11" i="21"/>
  <c r="G11" i="21"/>
  <c r="F13" i="21"/>
  <c r="E13" i="21"/>
  <c r="F12" i="21"/>
  <c r="E12" i="21"/>
  <c r="F11" i="21"/>
  <c r="D11" i="21"/>
  <c r="C11" i="21"/>
  <c r="I22" i="20"/>
  <c r="H22" i="20"/>
  <c r="G22" i="20"/>
  <c r="I21" i="20"/>
  <c r="H21" i="20"/>
  <c r="G21" i="20"/>
  <c r="D21" i="20"/>
  <c r="C21" i="20"/>
  <c r="I20" i="20"/>
  <c r="H20" i="20"/>
  <c r="G20" i="20"/>
  <c r="H19" i="20"/>
  <c r="G19" i="20"/>
  <c r="H17" i="20"/>
  <c r="G17" i="20"/>
  <c r="I14" i="20"/>
  <c r="H14" i="20"/>
  <c r="G14" i="20"/>
  <c r="F14" i="20"/>
  <c r="E14" i="20"/>
  <c r="D14" i="20"/>
  <c r="C14" i="20"/>
  <c r="I11" i="20"/>
  <c r="H11" i="20"/>
  <c r="G11" i="20"/>
  <c r="I5" i="20"/>
  <c r="F5" i="20"/>
  <c r="F11" i="20" s="1"/>
  <c r="E5" i="20"/>
  <c r="E16" i="20" s="1"/>
  <c r="D5" i="20"/>
  <c r="D11" i="20" s="1"/>
  <c r="C5" i="20"/>
  <c r="C22" i="20" s="1"/>
  <c r="N17" i="18"/>
  <c r="M17" i="18"/>
  <c r="L17" i="18"/>
  <c r="K17" i="18"/>
  <c r="J17" i="18"/>
  <c r="F17" i="18"/>
  <c r="C17" i="18"/>
  <c r="E17" i="18" s="1"/>
  <c r="L16" i="18"/>
  <c r="M16" i="18" s="1"/>
  <c r="I16" i="18"/>
  <c r="J16" i="18" s="1"/>
  <c r="C16" i="18"/>
  <c r="E16" i="18" s="1"/>
  <c r="L15" i="18"/>
  <c r="N15" i="18" s="1"/>
  <c r="I15" i="18"/>
  <c r="K15" i="18" s="1"/>
  <c r="C15" i="18"/>
  <c r="E15" i="18" s="1"/>
  <c r="L14" i="18"/>
  <c r="N14" i="18" s="1"/>
  <c r="I14" i="18"/>
  <c r="K14" i="18" s="1"/>
  <c r="F14" i="18"/>
  <c r="G14" i="18" s="1"/>
  <c r="C14" i="18"/>
  <c r="E14" i="18" s="1"/>
  <c r="I13" i="18"/>
  <c r="J13" i="18" s="1"/>
  <c r="F13" i="18"/>
  <c r="H13" i="18" s="1"/>
  <c r="C13" i="18"/>
  <c r="E13" i="18" s="1"/>
  <c r="L12" i="18"/>
  <c r="N12" i="18" s="1"/>
  <c r="F12" i="18"/>
  <c r="H12" i="18" s="1"/>
  <c r="C12" i="18"/>
  <c r="E12" i="18" s="1"/>
  <c r="F11" i="18"/>
  <c r="G11" i="18" s="1"/>
  <c r="I12" i="18"/>
  <c r="K12" i="18" s="1"/>
  <c r="H10" i="18"/>
  <c r="F10" i="18"/>
  <c r="L9" i="18"/>
  <c r="I9" i="18"/>
  <c r="K9" i="18" s="1"/>
  <c r="C9" i="18"/>
  <c r="E9" i="18" s="1"/>
  <c r="N8" i="18"/>
  <c r="M8" i="18"/>
  <c r="L8" i="18"/>
  <c r="K8" i="18"/>
  <c r="J8" i="18"/>
  <c r="I8" i="18"/>
  <c r="I21" i="18" s="1"/>
  <c r="H8" i="18"/>
  <c r="G8" i="18"/>
  <c r="F8" i="18"/>
  <c r="E8" i="18"/>
  <c r="D8" i="18"/>
  <c r="C8" i="18"/>
  <c r="K16" i="17"/>
  <c r="K20" i="17" s="1"/>
  <c r="I16" i="17"/>
  <c r="H16" i="17"/>
  <c r="H20" i="17" s="1"/>
  <c r="F16" i="17"/>
  <c r="F20" i="17" s="1"/>
  <c r="C16" i="17"/>
  <c r="C20" i="17" s="1"/>
  <c r="K15" i="17"/>
  <c r="L15" i="17" s="1"/>
  <c r="G15" i="17"/>
  <c r="H15" i="17" s="1"/>
  <c r="F15" i="17"/>
  <c r="E15" i="17"/>
  <c r="D15" i="17"/>
  <c r="C15" i="17"/>
  <c r="K14" i="17"/>
  <c r="L14" i="17" s="1"/>
  <c r="I14" i="17"/>
  <c r="J14" i="17" s="1"/>
  <c r="G14" i="17"/>
  <c r="H14" i="17" s="1"/>
  <c r="F14" i="17"/>
  <c r="E14" i="17"/>
  <c r="D14" i="17"/>
  <c r="C14" i="17"/>
  <c r="I13" i="17"/>
  <c r="J13" i="17" s="1"/>
  <c r="G13" i="17"/>
  <c r="H13" i="17" s="1"/>
  <c r="F13" i="17"/>
  <c r="E13" i="17"/>
  <c r="D13" i="17"/>
  <c r="C13" i="17"/>
  <c r="K12" i="17"/>
  <c r="L12" i="17" s="1"/>
  <c r="I12" i="17"/>
  <c r="J12" i="17" s="1"/>
  <c r="G12" i="17"/>
  <c r="H12" i="17" s="1"/>
  <c r="F12" i="17"/>
  <c r="E12" i="17"/>
  <c r="D12" i="17"/>
  <c r="C12" i="17"/>
  <c r="I11" i="17"/>
  <c r="J11" i="17" s="1"/>
  <c r="I10" i="17"/>
  <c r="K9" i="17"/>
  <c r="L9" i="17" s="1"/>
  <c r="G9" i="17"/>
  <c r="F9" i="17"/>
  <c r="E9" i="17"/>
  <c r="D9" i="17"/>
  <c r="C9" i="17"/>
  <c r="T20" i="16"/>
  <c r="S20" i="16"/>
  <c r="R20" i="16"/>
  <c r="O20" i="16"/>
  <c r="I20" i="16"/>
  <c r="J20" i="16" s="1"/>
  <c r="H20" i="16"/>
  <c r="G20" i="16"/>
  <c r="F20" i="16"/>
  <c r="E20" i="16"/>
  <c r="D20" i="16"/>
  <c r="C20" i="16"/>
  <c r="R19" i="16"/>
  <c r="O19" i="16"/>
  <c r="H19" i="16"/>
  <c r="G19" i="16"/>
  <c r="F19" i="16"/>
  <c r="E19" i="16"/>
  <c r="D19" i="16"/>
  <c r="C19" i="16"/>
  <c r="R18" i="16"/>
  <c r="O18" i="16"/>
  <c r="Q17" i="16"/>
  <c r="P17" i="16"/>
  <c r="O17" i="16"/>
  <c r="Q16" i="16"/>
  <c r="P16" i="16"/>
  <c r="O16" i="16"/>
  <c r="I14" i="16"/>
  <c r="L13" i="16"/>
  <c r="N13" i="16" s="1"/>
  <c r="H13" i="16"/>
  <c r="G13" i="16"/>
  <c r="F13" i="16"/>
  <c r="E13" i="16"/>
  <c r="D13" i="16"/>
  <c r="C13" i="16"/>
  <c r="R12" i="16"/>
  <c r="O12" i="16"/>
  <c r="L12" i="16"/>
  <c r="I12" i="16"/>
  <c r="H12" i="16"/>
  <c r="G12" i="16"/>
  <c r="F12" i="16"/>
  <c r="E12" i="16"/>
  <c r="D12" i="16"/>
  <c r="C12" i="16"/>
  <c r="I11" i="16"/>
  <c r="J11" i="16" s="1"/>
  <c r="I10" i="16"/>
  <c r="R9" i="16"/>
  <c r="O9" i="16"/>
  <c r="L9" i="16"/>
  <c r="H9" i="16"/>
  <c r="G9" i="16"/>
  <c r="F9" i="16"/>
  <c r="E9" i="16"/>
  <c r="D9" i="16"/>
  <c r="C9" i="16"/>
  <c r="T8" i="16"/>
  <c r="S8" i="16"/>
  <c r="R8" i="16"/>
  <c r="Q8" i="16"/>
  <c r="P8" i="16"/>
  <c r="O8" i="16"/>
  <c r="N8" i="16"/>
  <c r="M8" i="16"/>
  <c r="L8" i="16"/>
  <c r="K8" i="16"/>
  <c r="J8" i="16"/>
  <c r="I8" i="16"/>
  <c r="H8" i="16"/>
  <c r="G8" i="16"/>
  <c r="F8" i="16"/>
  <c r="E8" i="16"/>
  <c r="D8" i="16"/>
  <c r="C8" i="16"/>
  <c r="L24" i="15"/>
  <c r="K24" i="15"/>
  <c r="R20" i="15"/>
  <c r="Q20" i="15"/>
  <c r="Q24" i="15" s="1"/>
  <c r="O20" i="15"/>
  <c r="O24" i="15" s="1"/>
  <c r="M20" i="15"/>
  <c r="I20" i="15"/>
  <c r="J20" i="15" s="1"/>
  <c r="G20" i="15"/>
  <c r="H20" i="15" s="1"/>
  <c r="E20" i="15"/>
  <c r="E24" i="15" s="1"/>
  <c r="C20" i="15"/>
  <c r="C24" i="15" s="1"/>
  <c r="Q19" i="15"/>
  <c r="O19" i="15"/>
  <c r="P19" i="15" s="1"/>
  <c r="I19" i="15"/>
  <c r="G19" i="15"/>
  <c r="H19" i="15" s="1"/>
  <c r="E19" i="15"/>
  <c r="F19" i="15" s="1"/>
  <c r="C19" i="15"/>
  <c r="C18" i="15"/>
  <c r="D18" i="15" s="1"/>
  <c r="Q18" i="15"/>
  <c r="R18" i="15" s="1"/>
  <c r="I18" i="15"/>
  <c r="J18" i="15" s="1"/>
  <c r="G18" i="15"/>
  <c r="H18" i="15" s="1"/>
  <c r="I17" i="15"/>
  <c r="J17" i="15" s="1"/>
  <c r="I16" i="15"/>
  <c r="J16" i="15" s="1"/>
  <c r="J15" i="15"/>
  <c r="O14" i="15"/>
  <c r="P14" i="15" s="1"/>
  <c r="M14" i="15"/>
  <c r="N14" i="15" s="1"/>
  <c r="K14" i="15"/>
  <c r="L14" i="15" s="1"/>
  <c r="G13" i="15"/>
  <c r="H13" i="15" s="1"/>
  <c r="E13" i="15"/>
  <c r="F13" i="15" s="1"/>
  <c r="C13" i="15"/>
  <c r="D13" i="15" s="1"/>
  <c r="Q12" i="15"/>
  <c r="R12" i="15" s="1"/>
  <c r="O12" i="15"/>
  <c r="P12" i="15" s="1"/>
  <c r="M12" i="15"/>
  <c r="N12" i="15" s="1"/>
  <c r="K12" i="15"/>
  <c r="L12" i="15" s="1"/>
  <c r="G12" i="15"/>
  <c r="H12" i="15" s="1"/>
  <c r="E12" i="15"/>
  <c r="F12" i="15" s="1"/>
  <c r="C12" i="15"/>
  <c r="D12" i="15" s="1"/>
  <c r="O11" i="15"/>
  <c r="M11" i="15"/>
  <c r="N11" i="15" s="1"/>
  <c r="K11" i="15"/>
  <c r="L11" i="15" s="1"/>
  <c r="O10" i="15"/>
  <c r="M10" i="15"/>
  <c r="K10" i="15"/>
  <c r="Q9" i="15"/>
  <c r="R9" i="15" s="1"/>
  <c r="I9" i="15"/>
  <c r="J9" i="15" s="1"/>
  <c r="G9" i="15"/>
  <c r="P9" i="15"/>
  <c r="O9" i="15"/>
  <c r="E9" i="15"/>
  <c r="C9" i="15"/>
  <c r="I8" i="13"/>
  <c r="I7" i="13"/>
  <c r="E6" i="13"/>
  <c r="E7" i="13"/>
  <c r="E8" i="13"/>
  <c r="E5" i="13"/>
  <c r="O8" i="13"/>
  <c r="F13" i="20" l="1"/>
  <c r="D22" i="20"/>
  <c r="K10" i="16"/>
  <c r="K11" i="16"/>
  <c r="R24" i="16"/>
  <c r="J10" i="16"/>
  <c r="O24" i="16"/>
  <c r="D24" i="16"/>
  <c r="E24" i="16"/>
  <c r="S24" i="16"/>
  <c r="F24" i="16"/>
  <c r="T24" i="16"/>
  <c r="G24" i="16"/>
  <c r="H24" i="16"/>
  <c r="J24" i="16"/>
  <c r="N24" i="16"/>
  <c r="C24" i="16"/>
  <c r="H22" i="16"/>
  <c r="H23" i="16" s="1"/>
  <c r="I24" i="16"/>
  <c r="L24" i="16"/>
  <c r="N9" i="16"/>
  <c r="N18" i="16"/>
  <c r="T19" i="16"/>
  <c r="J14" i="16"/>
  <c r="R22" i="16"/>
  <c r="R23" i="16" s="1"/>
  <c r="E22" i="15"/>
  <c r="E23" i="15" s="1"/>
  <c r="D20" i="15"/>
  <c r="D24" i="15" s="1"/>
  <c r="G22" i="16"/>
  <c r="G23" i="16" s="1"/>
  <c r="K12" i="16"/>
  <c r="S19" i="16"/>
  <c r="M12" i="16"/>
  <c r="O22" i="16"/>
  <c r="O23" i="16" s="1"/>
  <c r="F21" i="18"/>
  <c r="J21" i="18"/>
  <c r="L21" i="18"/>
  <c r="K21" i="18"/>
  <c r="M21" i="18"/>
  <c r="N21" i="18"/>
  <c r="E21" i="18"/>
  <c r="C21" i="18"/>
  <c r="F18" i="17"/>
  <c r="F19" i="17" s="1"/>
  <c r="G18" i="17"/>
  <c r="G19" i="17" s="1"/>
  <c r="C18" i="17"/>
  <c r="C19" i="17" s="1"/>
  <c r="D15" i="18"/>
  <c r="J12" i="18"/>
  <c r="H14" i="18"/>
  <c r="L19" i="18"/>
  <c r="D14" i="18"/>
  <c r="M12" i="18"/>
  <c r="H11" i="18"/>
  <c r="K13" i="18"/>
  <c r="N16" i="18"/>
  <c r="C15" i="20"/>
  <c r="C11" i="20"/>
  <c r="C23" i="20" s="1"/>
  <c r="F22" i="20"/>
  <c r="I23" i="20"/>
  <c r="F23" i="21"/>
  <c r="E23" i="21"/>
  <c r="H23" i="21"/>
  <c r="C23" i="21"/>
  <c r="D23" i="21"/>
  <c r="G23" i="21"/>
  <c r="H23" i="20"/>
  <c r="G23" i="20"/>
  <c r="E12" i="20"/>
  <c r="F12" i="20"/>
  <c r="D15" i="20"/>
  <c r="E13" i="20"/>
  <c r="F21" i="20"/>
  <c r="E22" i="20"/>
  <c r="F16" i="20"/>
  <c r="E19" i="18"/>
  <c r="M9" i="18"/>
  <c r="G13" i="18"/>
  <c r="M15" i="18"/>
  <c r="D9" i="18"/>
  <c r="N9" i="18"/>
  <c r="D12" i="18"/>
  <c r="J14" i="18"/>
  <c r="D17" i="18"/>
  <c r="D21" i="18" s="1"/>
  <c r="F19" i="18"/>
  <c r="G10" i="18"/>
  <c r="D16" i="18"/>
  <c r="I19" i="18"/>
  <c r="J9" i="18"/>
  <c r="D13" i="18"/>
  <c r="J15" i="18"/>
  <c r="C19" i="18"/>
  <c r="G12" i="18"/>
  <c r="M14" i="18"/>
  <c r="K16" i="18"/>
  <c r="G17" i="18"/>
  <c r="G21" i="18" s="1"/>
  <c r="H17" i="18"/>
  <c r="H21" i="18" s="1"/>
  <c r="E18" i="17"/>
  <c r="L16" i="17"/>
  <c r="L20" i="17" s="1"/>
  <c r="K18" i="17"/>
  <c r="K19" i="17" s="1"/>
  <c r="I18" i="17"/>
  <c r="H9" i="17"/>
  <c r="H18" i="17" s="1"/>
  <c r="J16" i="17"/>
  <c r="J20" i="17" s="1"/>
  <c r="J10" i="17"/>
  <c r="D16" i="17"/>
  <c r="D20" i="17" s="1"/>
  <c r="P9" i="16"/>
  <c r="P12" i="16"/>
  <c r="M18" i="16"/>
  <c r="M20" i="16"/>
  <c r="M24" i="16" s="1"/>
  <c r="I22" i="16"/>
  <c r="Q9" i="16"/>
  <c r="D22" i="16"/>
  <c r="Q12" i="16"/>
  <c r="M9" i="16"/>
  <c r="E22" i="16"/>
  <c r="E23" i="16" s="1"/>
  <c r="T9" i="16"/>
  <c r="S12" i="16"/>
  <c r="Q18" i="16"/>
  <c r="K14" i="16"/>
  <c r="F22" i="16"/>
  <c r="F23" i="16" s="1"/>
  <c r="T12" i="16"/>
  <c r="M13" i="16"/>
  <c r="T18" i="16"/>
  <c r="C22" i="16"/>
  <c r="C23" i="16" s="1"/>
  <c r="S18" i="16"/>
  <c r="P19" i="16"/>
  <c r="P18" i="16"/>
  <c r="Q19" i="16"/>
  <c r="S9" i="16"/>
  <c r="P20" i="16"/>
  <c r="P24" i="16" s="1"/>
  <c r="L22" i="16"/>
  <c r="N12" i="16"/>
  <c r="Q20" i="16"/>
  <c r="Q24" i="16" s="1"/>
  <c r="J12" i="16"/>
  <c r="M19" i="16"/>
  <c r="K20" i="16"/>
  <c r="K24" i="16" s="1"/>
  <c r="N19" i="16"/>
  <c r="R24" i="15"/>
  <c r="F9" i="15"/>
  <c r="K22" i="15"/>
  <c r="P20" i="15"/>
  <c r="P24" i="15" s="1"/>
  <c r="Q22" i="15"/>
  <c r="L10" i="15"/>
  <c r="L22" i="15" s="1"/>
  <c r="O22" i="15"/>
  <c r="O23" i="15" s="1"/>
  <c r="G24" i="15"/>
  <c r="M22" i="15"/>
  <c r="M23" i="15" s="1"/>
  <c r="G22" i="15"/>
  <c r="C22" i="15"/>
  <c r="C23" i="15" s="1"/>
  <c r="H24" i="15"/>
  <c r="I22" i="15"/>
  <c r="I23" i="15" s="1"/>
  <c r="D9" i="15"/>
  <c r="H9" i="15"/>
  <c r="D19" i="15"/>
  <c r="J19" i="15"/>
  <c r="J22" i="15" s="1"/>
  <c r="N10" i="15"/>
  <c r="F20" i="15"/>
  <c r="F24" i="15" s="1"/>
  <c r="N20" i="15"/>
  <c r="I24" i="15"/>
  <c r="J24" i="15"/>
  <c r="R19" i="15"/>
  <c r="M24" i="15"/>
  <c r="D23" i="20" l="1"/>
  <c r="N22" i="16"/>
  <c r="J22" i="16"/>
  <c r="K22" i="16"/>
  <c r="K23" i="16" s="1"/>
  <c r="S22" i="16"/>
  <c r="S23" i="16" s="1"/>
  <c r="Q23" i="15"/>
  <c r="P22" i="15"/>
  <c r="P23" i="15" s="1"/>
  <c r="L23" i="15"/>
  <c r="M22" i="16"/>
  <c r="M23" i="16" s="1"/>
  <c r="Q22" i="16"/>
  <c r="Q23" i="16" s="1"/>
  <c r="H19" i="17"/>
  <c r="J18" i="17"/>
  <c r="I19" i="17"/>
  <c r="L20" i="18"/>
  <c r="K19" i="18"/>
  <c r="H19" i="18"/>
  <c r="N19" i="18"/>
  <c r="F20" i="18"/>
  <c r="E20" i="18"/>
  <c r="F23" i="20"/>
  <c r="E23" i="20"/>
  <c r="M19" i="18"/>
  <c r="D19" i="18"/>
  <c r="C20" i="18"/>
  <c r="J19" i="18"/>
  <c r="H20" i="18"/>
  <c r="G19" i="18"/>
  <c r="I20" i="18"/>
  <c r="L18" i="17"/>
  <c r="E19" i="17"/>
  <c r="D18" i="17"/>
  <c r="T22" i="16"/>
  <c r="I23" i="16"/>
  <c r="D23" i="16"/>
  <c r="P22" i="16"/>
  <c r="P23" i="16" s="1"/>
  <c r="L23" i="16"/>
  <c r="G23" i="15"/>
  <c r="K23" i="15"/>
  <c r="F22" i="15"/>
  <c r="F23" i="15" s="1"/>
  <c r="J23" i="15"/>
  <c r="N22" i="15"/>
  <c r="N24" i="15"/>
  <c r="R22" i="15"/>
  <c r="H22" i="15"/>
  <c r="D22" i="15"/>
  <c r="N23" i="16" l="1"/>
  <c r="J23" i="16"/>
  <c r="D20" i="18"/>
  <c r="J19" i="17"/>
  <c r="K20" i="18"/>
  <c r="N20" i="18"/>
  <c r="M20" i="18"/>
  <c r="G20" i="18"/>
  <c r="J20" i="18"/>
  <c r="L19" i="17"/>
  <c r="D19" i="17"/>
  <c r="T23" i="16"/>
  <c r="R23" i="15"/>
  <c r="D23" i="15"/>
  <c r="H23" i="15"/>
  <c r="N23" i="15"/>
  <c r="K8" i="13"/>
  <c r="L8" i="13"/>
  <c r="L7" i="13"/>
  <c r="K7" i="13"/>
  <c r="G7" i="13"/>
  <c r="G8" i="13"/>
  <c r="H7" i="13"/>
  <c r="H8" i="13"/>
  <c r="H6" i="13"/>
  <c r="G6"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Tõnis Hunt</author>
  </authors>
  <commentList>
    <comment ref="C9" authorId="0" shapeId="0" xr:uid="{9335D4AB-75DD-488F-9A56-5F8EEA388DEA}">
      <text>
        <r>
          <rPr>
            <b/>
            <sz val="9"/>
            <color indexed="81"/>
            <rFont val="Tahoma"/>
            <family val="2"/>
            <charset val="186"/>
          </rPr>
          <t>Tõnis Hunt:</t>
        </r>
        <r>
          <rPr>
            <sz val="9"/>
            <color indexed="81"/>
            <rFont val="Tahoma"/>
            <family val="2"/>
            <charset val="186"/>
          </rPr>
          <t xml:space="preserve">
0,1782*GT ESI soodustus</t>
        </r>
      </text>
    </comment>
    <comment ref="D9" authorId="0" shapeId="0" xr:uid="{2B70B6C4-C7CF-42C2-9C52-49477A6C1029}">
      <text>
        <r>
          <rPr>
            <b/>
            <sz val="9"/>
            <color indexed="81"/>
            <rFont val="Tahoma"/>
            <family val="2"/>
            <charset val="186"/>
          </rPr>
          <t>Tõnis Hunt:</t>
        </r>
        <r>
          <rPr>
            <sz val="9"/>
            <color indexed="81"/>
            <rFont val="Tahoma"/>
            <family val="2"/>
            <charset val="186"/>
          </rPr>
          <t xml:space="preserve">
Reisilaevadele regulaarliinil kehtivad tonnaažitasu soodustused iga kalendriaasta kohta eraldi:
• 31. - 150. külastus 20%
• 151. – 240. külastus 40%
• alates 241. külastusest 75%</t>
        </r>
      </text>
    </comment>
    <comment ref="E9" authorId="0" shapeId="0" xr:uid="{6C42B77F-5073-48AE-ACCC-B5B5F5A98900}">
      <text>
        <r>
          <rPr>
            <b/>
            <sz val="9"/>
            <color indexed="81"/>
            <rFont val="Tahoma"/>
            <family val="2"/>
            <charset val="186"/>
          </rPr>
          <t>Tõnis Hunt:</t>
        </r>
        <r>
          <rPr>
            <sz val="9"/>
            <color indexed="81"/>
            <rFont val="Tahoma"/>
            <family val="2"/>
            <charset val="186"/>
          </rPr>
          <t xml:space="preserve">
Reisilaevadele regulaarliinil kehtivad tonnaažitasu soodustused iga kalendriaasta kohta eraldi:
• 31. - 150. külastus 20%
• 151. – 240. külastus 40%
• alates 241. külastusest 75%</t>
        </r>
      </text>
    </comment>
    <comment ref="I9" authorId="0" shapeId="0" xr:uid="{8F88051A-FD68-4643-8B17-B41D1A615A8B}">
      <text>
        <r>
          <rPr>
            <b/>
            <sz val="9"/>
            <color indexed="81"/>
            <rFont val="Tahoma"/>
            <family val="2"/>
            <charset val="186"/>
          </rPr>
          <t>Tõnis Hunt:</t>
        </r>
        <r>
          <rPr>
            <sz val="9"/>
            <color indexed="81"/>
            <rFont val="Tahoma"/>
            <family val="2"/>
            <charset val="186"/>
          </rPr>
          <t xml:space="preserve">
Kai LJ7</t>
        </r>
      </text>
    </comment>
    <comment ref="I12" authorId="0" shapeId="0" xr:uid="{A48E3017-F2C2-4343-9C89-80D358C6DD07}">
      <text>
        <r>
          <rPr>
            <b/>
            <sz val="9"/>
            <color indexed="81"/>
            <rFont val="Tahoma"/>
            <family val="2"/>
            <charset val="186"/>
          </rPr>
          <t>Tõnis Hunt:</t>
        </r>
        <r>
          <rPr>
            <sz val="9"/>
            <color indexed="81"/>
            <rFont val="Tahoma"/>
            <family val="2"/>
            <charset val="186"/>
          </rPr>
          <t xml:space="preserve">
Automooring</t>
        </r>
      </text>
    </comment>
    <comment ref="B13" authorId="0" shapeId="0" xr:uid="{52091F7F-1927-41CA-8B4D-0784CE289BBC}">
      <text>
        <r>
          <rPr>
            <b/>
            <sz val="9"/>
            <color indexed="81"/>
            <rFont val="Tahoma"/>
            <family val="2"/>
            <charset val="186"/>
          </rPr>
          <t>Tõnis Hunt:</t>
        </r>
        <r>
          <rPr>
            <sz val="9"/>
            <color indexed="81"/>
            <rFont val="Tahoma"/>
            <family val="2"/>
            <charset val="186"/>
          </rPr>
          <t xml:space="preserve">
Alternative terms:waste fee; sanitary fee; solid waste + sewage + oil-containing waste originating from engine room</t>
        </r>
      </text>
    </comment>
    <comment ref="C14" authorId="0" shapeId="0" xr:uid="{0449865B-BE48-46CA-9EF5-6BF50CB3F792}">
      <text>
        <r>
          <rPr>
            <b/>
            <sz val="9"/>
            <color indexed="81"/>
            <rFont val="Tahoma"/>
            <family val="2"/>
            <charset val="186"/>
          </rPr>
          <t>Tõnis Hunt:</t>
        </r>
        <r>
          <rPr>
            <sz val="9"/>
            <color indexed="81"/>
            <rFont val="Tahoma"/>
            <family val="2"/>
            <charset val="186"/>
          </rPr>
          <t xml:space="preserve">
Iga reis 2500 reisijat</t>
        </r>
      </text>
    </comment>
    <comment ref="C15" authorId="0" shapeId="0" xr:uid="{FAF34530-1B75-4BB0-A6E7-BE94CF236E75}">
      <text>
        <r>
          <rPr>
            <b/>
            <sz val="9"/>
            <color indexed="81"/>
            <rFont val="Tahoma"/>
            <family val="2"/>
            <charset val="186"/>
          </rPr>
          <t>Tõnis Hunt:</t>
        </r>
        <r>
          <rPr>
            <sz val="9"/>
            <color indexed="81"/>
            <rFont val="Tahoma"/>
            <family val="2"/>
            <charset val="186"/>
          </rPr>
          <t xml:space="preserve">
100 rekkat, bussi jms+100 sõiduautot</t>
        </r>
      </text>
    </comment>
    <comment ref="C16" authorId="0" shapeId="0" xr:uid="{BB2F7446-4981-4157-9A30-A63907FA6EED}">
      <text>
        <r>
          <rPr>
            <b/>
            <sz val="9"/>
            <color indexed="81"/>
            <rFont val="Tahoma"/>
            <family val="2"/>
            <charset val="186"/>
          </rPr>
          <t>Tõnis Hunt:</t>
        </r>
        <r>
          <rPr>
            <sz val="9"/>
            <color indexed="81"/>
            <rFont val="Tahoma"/>
            <family val="2"/>
            <charset val="186"/>
          </rPr>
          <t xml:space="preserve">
Vanasadam Tallinna 1 10nm</t>
        </r>
      </text>
    </comment>
    <comment ref="B17" authorId="0" shapeId="0" xr:uid="{25D0E311-5642-4217-919C-6CA136DAD39E}">
      <text>
        <r>
          <rPr>
            <b/>
            <sz val="9"/>
            <color indexed="81"/>
            <rFont val="Tahoma"/>
            <charset val="1"/>
          </rPr>
          <t>Tõnis Hunt:</t>
        </r>
        <r>
          <rPr>
            <sz val="9"/>
            <color indexed="81"/>
            <rFont val="Tahoma"/>
            <charset val="1"/>
          </rPr>
          <t xml:space="preserve">
Alternative term: fairway due,
waterway fee/due, navigation fee/due
</t>
        </r>
      </text>
    </comment>
    <comment ref="D17" authorId="0" shapeId="0" xr:uid="{97663A9F-C99C-42F8-8815-F4845A1A70E1}">
      <text>
        <r>
          <rPr>
            <b/>
            <sz val="9"/>
            <color indexed="81"/>
            <rFont val="Tahoma"/>
            <family val="2"/>
            <charset val="186"/>
          </rPr>
          <t>Tõnis Hunt:</t>
        </r>
        <r>
          <rPr>
            <sz val="9"/>
            <color indexed="81"/>
            <rFont val="Tahoma"/>
            <family val="2"/>
            <charset val="186"/>
          </rPr>
          <t xml:space="preserve">
Jääklass 1A
Reisilaev regulaarliinil poolte külastuskordade eest aga mitte rohkem kui 60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Tõnis Hunt</author>
  </authors>
  <commentList>
    <comment ref="C9" authorId="0" shapeId="0" xr:uid="{BF48FC12-55BF-4956-A236-CFC174DEB7B8}">
      <text>
        <r>
          <rPr>
            <b/>
            <sz val="9"/>
            <color indexed="81"/>
            <rFont val="Tahoma"/>
            <family val="2"/>
            <charset val="186"/>
          </rPr>
          <t>Tõnis Hunt:</t>
        </r>
        <r>
          <rPr>
            <sz val="9"/>
            <color indexed="81"/>
            <rFont val="Tahoma"/>
            <family val="2"/>
            <charset val="186"/>
          </rPr>
          <t xml:space="preserve">
0,496 EUR/GT
</t>
        </r>
      </text>
    </comment>
    <comment ref="D9" authorId="0" shapeId="0" xr:uid="{01A687DA-0E2C-46AB-BC92-27395C725FCF}">
      <text>
        <r>
          <rPr>
            <b/>
            <sz val="9"/>
            <color indexed="81"/>
            <rFont val="Tahoma"/>
            <family val="2"/>
            <charset val="186"/>
          </rPr>
          <t>Tõnis Hunt:</t>
        </r>
        <r>
          <rPr>
            <sz val="9"/>
            <color indexed="81"/>
            <rFont val="Tahoma"/>
            <family val="2"/>
            <charset val="186"/>
          </rPr>
          <t xml:space="preserve">
soodustused 2-3 ja 4-5 ja 6 külastuse eest</t>
        </r>
      </text>
    </comment>
    <comment ref="E9" authorId="0" shapeId="0" xr:uid="{DA18F991-FCA1-4C83-9AA5-98D4514495FA}">
      <text>
        <r>
          <rPr>
            <b/>
            <sz val="9"/>
            <color indexed="81"/>
            <rFont val="Tahoma"/>
            <family val="2"/>
            <charset val="186"/>
          </rPr>
          <t>Tõnis Hunt:</t>
        </r>
        <r>
          <rPr>
            <sz val="9"/>
            <color indexed="81"/>
            <rFont val="Tahoma"/>
            <family val="2"/>
            <charset val="186"/>
          </rPr>
          <t xml:space="preserve">
0,45 €/GT
kuna laev on üle 50000 GT siis võetakse 50000 GT ülempiiriks
</t>
        </r>
      </text>
    </comment>
    <comment ref="F9" authorId="0" shapeId="0" xr:uid="{BC610B7E-BABC-4810-BAB2-0B0F743C5F16}">
      <text>
        <r>
          <rPr>
            <b/>
            <sz val="9"/>
            <color indexed="81"/>
            <rFont val="Tahoma"/>
            <family val="2"/>
            <charset val="186"/>
          </rPr>
          <t>Tõnis Hunt:</t>
        </r>
        <r>
          <rPr>
            <sz val="9"/>
            <color indexed="81"/>
            <rFont val="Tahoma"/>
            <family val="2"/>
            <charset val="186"/>
          </rPr>
          <t xml:space="preserve">
2-5 külastus 60% soodustust
6 reis 80%</t>
        </r>
      </text>
    </comment>
    <comment ref="C12" authorId="0" shapeId="0" xr:uid="{FC3C6E07-E0B1-42DE-B551-860F4FBBD7FD}">
      <text>
        <r>
          <rPr>
            <b/>
            <sz val="9"/>
            <color indexed="81"/>
            <rFont val="Tahoma"/>
            <family val="2"/>
            <charset val="186"/>
          </rPr>
          <t>Tõnis Hunt:</t>
        </r>
        <r>
          <rPr>
            <sz val="9"/>
            <color indexed="81"/>
            <rFont val="Tahoma"/>
            <family val="2"/>
            <charset val="186"/>
          </rPr>
          <t xml:space="preserve">
GT vahemik üle 50000 üks operatsioon 134€</t>
        </r>
      </text>
    </comment>
    <comment ref="E12" authorId="0" shapeId="0" xr:uid="{E0AC5865-CF69-45F2-8D8C-4F20A1E71B4D}">
      <text>
        <r>
          <rPr>
            <b/>
            <sz val="9"/>
            <color indexed="81"/>
            <rFont val="Tahoma"/>
            <family val="2"/>
            <charset val="186"/>
          </rPr>
          <t>Tõnis Hunt:</t>
        </r>
        <r>
          <rPr>
            <sz val="9"/>
            <color indexed="81"/>
            <rFont val="Tahoma"/>
            <family val="2"/>
            <charset val="186"/>
          </rPr>
          <t xml:space="preserve">
GT vahemik 6001-20000 üks operatsioon 300€</t>
        </r>
      </text>
    </comment>
    <comment ref="B13" authorId="0" shapeId="0" xr:uid="{642321C8-DFC4-480F-8340-BAD453216C2A}">
      <text>
        <r>
          <rPr>
            <b/>
            <sz val="9"/>
            <color indexed="81"/>
            <rFont val="Tahoma"/>
            <family val="2"/>
            <charset val="186"/>
          </rPr>
          <t>Tõnis Hunt:</t>
        </r>
        <r>
          <rPr>
            <sz val="9"/>
            <color indexed="81"/>
            <rFont val="Tahoma"/>
            <family val="2"/>
            <charset val="186"/>
          </rPr>
          <t xml:space="preserve">
Alternative terms:waste fee; sanitary fee; solid waste + sewage + oil-containing waste originating from engine room</t>
        </r>
      </text>
    </comment>
    <comment ref="C13" authorId="0" shapeId="0" xr:uid="{553AE9E6-17D3-4DB9-82F4-42EE6ABB00BF}">
      <text>
        <r>
          <rPr>
            <b/>
            <sz val="9"/>
            <color indexed="81"/>
            <rFont val="Tahoma"/>
            <family val="2"/>
            <charset val="186"/>
          </rPr>
          <t>Tõnis Hunt:</t>
        </r>
        <r>
          <rPr>
            <sz val="9"/>
            <color indexed="81"/>
            <rFont val="Tahoma"/>
            <family val="2"/>
            <charset val="186"/>
          </rPr>
          <t xml:space="preserve">
0,056 EUR/GT
Võib saada soodustust kui kogutakse liigiti 0,051 EUR/GT</t>
        </r>
      </text>
    </comment>
    <comment ref="E13" authorId="0" shapeId="0" xr:uid="{C50A5B48-7FE0-4151-9AE4-FA747C055126}">
      <text>
        <r>
          <rPr>
            <b/>
            <sz val="9"/>
            <color indexed="81"/>
            <rFont val="Tahoma"/>
            <family val="2"/>
            <charset val="186"/>
          </rPr>
          <t>Tõnis Hunt:</t>
        </r>
        <r>
          <rPr>
            <sz val="9"/>
            <color indexed="81"/>
            <rFont val="Tahoma"/>
            <family val="2"/>
            <charset val="186"/>
          </rPr>
          <t xml:space="preserve">
0,1 €/GT</t>
        </r>
      </text>
    </comment>
    <comment ref="C14" authorId="0" shapeId="0" xr:uid="{BD74AF27-3369-4CE9-924F-E36E798D310D}">
      <text>
        <r>
          <rPr>
            <b/>
            <sz val="9"/>
            <color indexed="81"/>
            <rFont val="Tahoma"/>
            <family val="2"/>
            <charset val="186"/>
          </rPr>
          <t>Tõnis Hunt:</t>
        </r>
        <r>
          <rPr>
            <sz val="9"/>
            <color indexed="81"/>
            <rFont val="Tahoma"/>
            <family val="2"/>
            <charset val="186"/>
          </rPr>
          <t xml:space="preserve">
Arvestatud 2000 reisija eest - pole täis ja on alla 12 a lapsi, kelle eest ei maksta</t>
        </r>
      </text>
    </comment>
    <comment ref="C15" authorId="0" shapeId="0" xr:uid="{6064126D-0324-49FB-84E0-D369E285943A}">
      <text>
        <r>
          <rPr>
            <b/>
            <sz val="9"/>
            <color indexed="81"/>
            <rFont val="Tahoma"/>
            <family val="2"/>
            <charset val="186"/>
          </rPr>
          <t>Tõnis Hunt:</t>
        </r>
        <r>
          <rPr>
            <sz val="9"/>
            <color indexed="81"/>
            <rFont val="Tahoma"/>
            <family val="2"/>
            <charset val="186"/>
          </rPr>
          <t xml:space="preserve">
Vanasadam Suurupi 3 10 miili
vahemik 80001-100000 
3993€</t>
        </r>
      </text>
    </comment>
    <comment ref="E15" authorId="0" shapeId="0" xr:uid="{DBE282A9-0534-4007-8D47-263813ABA173}">
      <text>
        <r>
          <rPr>
            <b/>
            <sz val="9"/>
            <color indexed="81"/>
            <rFont val="Tahoma"/>
            <family val="2"/>
            <charset val="186"/>
          </rPr>
          <t>Tõnis Hunt:</t>
        </r>
        <r>
          <rPr>
            <sz val="9"/>
            <color indexed="81"/>
            <rFont val="Tahoma"/>
            <family val="2"/>
            <charset val="186"/>
          </rPr>
          <t xml:space="preserve">
Sillamäe 4 miili
vahemik 80001-100000 
3390€</t>
        </r>
      </text>
    </comment>
    <comment ref="B16" authorId="0" shapeId="0" xr:uid="{D04397CE-4C8E-4CF3-97F8-60AB7BD03CBC}">
      <text>
        <r>
          <rPr>
            <b/>
            <sz val="9"/>
            <color indexed="81"/>
            <rFont val="Tahoma"/>
            <charset val="1"/>
          </rPr>
          <t>Tõnis Hunt:</t>
        </r>
        <r>
          <rPr>
            <sz val="9"/>
            <color indexed="81"/>
            <rFont val="Tahoma"/>
            <charset val="1"/>
          </rPr>
          <t xml:space="preserve">
Alternative term: fairway due,
waterway fee/due, navigation fee/due
</t>
        </r>
      </text>
    </comment>
    <comment ref="C16" authorId="0" shapeId="0" xr:uid="{BC822A2E-B5A6-4D81-ABF4-D32CAF2916E4}">
      <text>
        <r>
          <rPr>
            <b/>
            <sz val="9"/>
            <color indexed="81"/>
            <rFont val="Tahoma"/>
            <family val="2"/>
            <charset val="186"/>
          </rPr>
          <t>Tõnis Hunt:</t>
        </r>
        <r>
          <rPr>
            <sz val="9"/>
            <color indexed="81"/>
            <rFont val="Tahoma"/>
            <family val="2"/>
            <charset val="186"/>
          </rPr>
          <t xml:space="preserve">
Kruiisilaevad 0,12 €/GT
Kas 1 kord saabumise kohta või iga ööpäeva eest?
MAX 12000€ merematkelaevadele
https://www.transpordiamet.ee/veeteetasud</t>
        </r>
      </text>
    </comment>
    <comment ref="D16" authorId="0" shapeId="0" xr:uid="{9794B784-82C4-420C-ADB9-B3B928609257}">
      <text>
        <r>
          <rPr>
            <b/>
            <sz val="9"/>
            <color indexed="81"/>
            <rFont val="Tahoma"/>
            <family val="2"/>
            <charset val="186"/>
          </rPr>
          <t>Tõnis Hunt:</t>
        </r>
        <r>
          <rPr>
            <sz val="9"/>
            <color indexed="81"/>
            <rFont val="Tahoma"/>
            <family val="2"/>
            <charset val="186"/>
          </rPr>
          <t xml:space="preserve">
Max 3 korda</t>
        </r>
      </text>
    </comment>
    <comment ref="E16" authorId="0" shapeId="0" xr:uid="{CF6E495A-45C2-4D1A-8F87-F3DEB230F03B}">
      <text>
        <r>
          <rPr>
            <b/>
            <sz val="9"/>
            <color indexed="81"/>
            <rFont val="Tahoma"/>
            <family val="2"/>
            <charset val="186"/>
          </rPr>
          <t>Tõnis Hunt:</t>
        </r>
        <r>
          <rPr>
            <sz val="9"/>
            <color indexed="81"/>
            <rFont val="Tahoma"/>
            <family val="2"/>
            <charset val="186"/>
          </rPr>
          <t xml:space="preserve">
Jääklassi pole 0,35 €/GT
Kas 1 kord saabumise kohta või iga ööpäeva eest?
MAX 12000€ merematkelaevadele
https://www.transpordiamet.ee/veeteetasud</t>
        </r>
      </text>
    </comment>
    <comment ref="F16" authorId="0" shapeId="0" xr:uid="{413FD6DF-FFED-4427-8F5B-86F3899D3547}">
      <text>
        <r>
          <rPr>
            <b/>
            <sz val="9"/>
            <color indexed="81"/>
            <rFont val="Tahoma"/>
            <family val="2"/>
            <charset val="186"/>
          </rPr>
          <t>Tõnis Hunt:</t>
        </r>
        <r>
          <rPr>
            <sz val="9"/>
            <color indexed="81"/>
            <rFont val="Tahoma"/>
            <family val="2"/>
            <charset val="186"/>
          </rPr>
          <t xml:space="preserve">
Max 3 korda</t>
        </r>
      </text>
    </comment>
    <comment ref="G16" authorId="0" shapeId="0" xr:uid="{E43E00D2-9295-414E-B2B5-231C8C8E3053}">
      <text>
        <r>
          <rPr>
            <b/>
            <sz val="9"/>
            <color indexed="81"/>
            <rFont val="Tahoma"/>
            <family val="2"/>
            <charset val="186"/>
          </rPr>
          <t>Tõnis Hunt:</t>
        </r>
        <r>
          <rPr>
            <sz val="9"/>
            <color indexed="81"/>
            <rFont val="Tahoma"/>
            <family val="2"/>
            <charset val="186"/>
          </rPr>
          <t xml:space="preserve">
Ülempiir mida võetakse kruiisilaevalt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Tõnis Hunt</author>
  </authors>
  <commentList>
    <comment ref="G8" authorId="0" shapeId="0" xr:uid="{B88A5C90-DB81-42AF-B3BB-02ED8F9A58F2}">
      <text>
        <r>
          <rPr>
            <b/>
            <sz val="9"/>
            <color indexed="81"/>
            <rFont val="Tahoma"/>
            <family val="2"/>
            <charset val="186"/>
          </rPr>
          <t>Tõnis Hunt:</t>
        </r>
        <r>
          <rPr>
            <sz val="9"/>
            <color indexed="81"/>
            <rFont val="Tahoma"/>
            <family val="2"/>
            <charset val="186"/>
          </rPr>
          <t xml:space="preserve">
Vuosaari</t>
        </r>
      </text>
    </comment>
    <comment ref="C9" authorId="0" shapeId="0" xr:uid="{1AC5DC58-422B-44BF-98F8-B22741191CC6}">
      <text>
        <r>
          <rPr>
            <b/>
            <sz val="9"/>
            <color indexed="81"/>
            <rFont val="Tahoma"/>
            <family val="2"/>
            <charset val="186"/>
          </rPr>
          <t>Tõnis Hunt:</t>
        </r>
        <r>
          <rPr>
            <sz val="9"/>
            <color indexed="81"/>
            <rFont val="Tahoma"/>
            <family val="2"/>
            <charset val="186"/>
          </rPr>
          <t xml:space="preserve">
0,225 EUR/GT
</t>
        </r>
      </text>
    </comment>
    <comment ref="E9" authorId="0" shapeId="0" xr:uid="{6F2BE373-B526-4971-BAAD-A4A58C9BEEAF}">
      <text>
        <r>
          <rPr>
            <b/>
            <sz val="9"/>
            <color indexed="81"/>
            <rFont val="Tahoma"/>
            <family val="2"/>
            <charset val="186"/>
          </rPr>
          <t>Tõnis Hunt:</t>
        </r>
        <r>
          <rPr>
            <sz val="9"/>
            <color indexed="81"/>
            <rFont val="Tahoma"/>
            <family val="2"/>
            <charset val="186"/>
          </rPr>
          <t xml:space="preserve">
0,225 EUR/GT
</t>
        </r>
      </text>
    </comment>
    <comment ref="G9" authorId="0" shapeId="0" xr:uid="{37013154-731F-4355-998B-D00BF8B89A0A}">
      <text>
        <r>
          <rPr>
            <b/>
            <sz val="9"/>
            <color indexed="81"/>
            <rFont val="Tahoma"/>
            <family val="2"/>
            <charset val="186"/>
          </rPr>
          <t>Tõnis Hunt:</t>
        </r>
        <r>
          <rPr>
            <sz val="9"/>
            <color indexed="81"/>
            <rFont val="Tahoma"/>
            <family val="2"/>
            <charset val="186"/>
          </rPr>
          <t xml:space="preserve">
Võib saada soodustust kui sama laevafirma laevadelt kasseritav nt summa ületab poole aasta jooskul 100 tuh. 200 tuh. 400 tuh. 800 tuh nt
Samuti võib saada keskkonna soodustust kas ESI põhjal või müra suuruse põhjal</t>
        </r>
      </text>
    </comment>
    <comment ref="O9" authorId="0" shapeId="0" xr:uid="{49936849-B0C5-4E93-8CAB-E58DF9C2E254}">
      <text>
        <r>
          <rPr>
            <b/>
            <sz val="9"/>
            <color indexed="81"/>
            <rFont val="Tahoma"/>
            <family val="2"/>
            <charset val="186"/>
          </rPr>
          <t>Tõnis Hunt:</t>
        </r>
        <r>
          <rPr>
            <sz val="9"/>
            <color indexed="81"/>
            <rFont val="Tahoma"/>
            <family val="2"/>
            <charset val="186"/>
          </rPr>
          <t xml:space="preserve">
0,071*GT liita 2 EUR iga ühik kaupa
</t>
        </r>
      </text>
    </comment>
    <comment ref="Q9" authorId="0" shapeId="0" xr:uid="{428ACBD2-E02E-4A58-AC00-7EC5F3EF5830}">
      <text>
        <r>
          <rPr>
            <b/>
            <sz val="9"/>
            <color indexed="81"/>
            <rFont val="Tahoma"/>
            <family val="2"/>
            <charset val="186"/>
          </rPr>
          <t>Tõnis Hunt:</t>
        </r>
        <r>
          <rPr>
            <sz val="9"/>
            <color indexed="81"/>
            <rFont val="Tahoma"/>
            <family val="2"/>
            <charset val="186"/>
          </rPr>
          <t xml:space="preserve">
GT*4,28*valuutakurss
Võimalik ESI ja CSI soodustused
</t>
        </r>
      </text>
    </comment>
    <comment ref="K10" authorId="0" shapeId="0" xr:uid="{38D73CFA-24F8-4DFE-A531-562D022911A6}">
      <text>
        <r>
          <rPr>
            <b/>
            <sz val="9"/>
            <color indexed="81"/>
            <rFont val="Tahoma"/>
            <family val="2"/>
            <charset val="186"/>
          </rPr>
          <t>Tõnis Hunt:</t>
        </r>
      </text>
    </comment>
    <comment ref="M10" authorId="0" shapeId="0" xr:uid="{E4B33E0B-0649-49B4-B491-E1F72220F605}">
      <text>
        <r>
          <rPr>
            <b/>
            <sz val="9"/>
            <color indexed="81"/>
            <rFont val="Tahoma"/>
            <family val="2"/>
            <charset val="186"/>
          </rPr>
          <t>Tõnis Hunt:</t>
        </r>
      </text>
    </comment>
    <comment ref="P10" authorId="0" shapeId="0" xr:uid="{E23D3AD1-5C8B-4851-A387-F0E9DC09B9AB}">
      <text>
        <r>
          <rPr>
            <b/>
            <sz val="9"/>
            <color indexed="81"/>
            <rFont val="Tahoma"/>
            <family val="2"/>
            <charset val="186"/>
          </rPr>
          <t>Tõnis Hunt:</t>
        </r>
        <r>
          <rPr>
            <sz val="9"/>
            <color indexed="81"/>
            <rFont val="Tahoma"/>
            <family val="2"/>
            <charset val="186"/>
          </rPr>
          <t xml:space="preserve">
Sõnastus on, et ro-ro with liner status are exempt</t>
        </r>
      </text>
    </comment>
    <comment ref="K11" authorId="0" shapeId="0" xr:uid="{BD3462C2-FD5A-4240-9A3D-1292F40F45FF}">
      <text>
        <r>
          <rPr>
            <b/>
            <sz val="9"/>
            <color indexed="81"/>
            <rFont val="Tahoma"/>
            <family val="2"/>
            <charset val="186"/>
          </rPr>
          <t>Tõnis Hunt:</t>
        </r>
        <r>
          <rPr>
            <sz val="9"/>
            <color indexed="81"/>
            <rFont val="Tahoma"/>
            <family val="2"/>
            <charset val="186"/>
          </rPr>
          <t xml:space="preserve">
berthing dues
</t>
        </r>
      </text>
    </comment>
    <comment ref="M11" authorId="0" shapeId="0" xr:uid="{2579F0F3-0B2A-46E6-847F-CAC8D54B9832}">
      <text>
        <r>
          <rPr>
            <b/>
            <sz val="9"/>
            <color indexed="81"/>
            <rFont val="Tahoma"/>
            <family val="2"/>
            <charset val="186"/>
          </rPr>
          <t>Tõnis Hunt:</t>
        </r>
        <r>
          <rPr>
            <sz val="9"/>
            <color indexed="81"/>
            <rFont val="Tahoma"/>
            <family val="2"/>
            <charset val="186"/>
          </rPr>
          <t xml:space="preserve">
berthing dues
</t>
        </r>
      </text>
    </comment>
    <comment ref="P11" authorId="0" shapeId="0" xr:uid="{4B01616D-9FE5-4C0B-8B8F-F261018AFE5D}">
      <text>
        <r>
          <rPr>
            <b/>
            <sz val="9"/>
            <color indexed="81"/>
            <rFont val="Tahoma"/>
            <family val="2"/>
            <charset val="186"/>
          </rPr>
          <t>Tõnis Hunt:</t>
        </r>
        <r>
          <rPr>
            <sz val="9"/>
            <color indexed="81"/>
            <rFont val="Tahoma"/>
            <family val="2"/>
            <charset val="186"/>
          </rPr>
          <t xml:space="preserve">
Sõnastus on, et ro-ro with liner status are exempt</t>
        </r>
      </text>
    </comment>
    <comment ref="C12" authorId="0" shapeId="0" xr:uid="{82DE23AE-9380-4179-AC72-CD9B21C9E91F}">
      <text>
        <r>
          <rPr>
            <b/>
            <sz val="9"/>
            <color indexed="81"/>
            <rFont val="Tahoma"/>
            <family val="2"/>
            <charset val="186"/>
          </rPr>
          <t>Tõnis Hunt:</t>
        </r>
        <r>
          <rPr>
            <sz val="9"/>
            <color indexed="81"/>
            <rFont val="Tahoma"/>
            <family val="2"/>
            <charset val="186"/>
          </rPr>
          <t xml:space="preserve">
GT vahemik 2001-6000 üks operatsioon 171€</t>
        </r>
      </text>
    </comment>
    <comment ref="E12" authorId="0" shapeId="0" xr:uid="{D870874D-B674-43EE-9C56-9226657747BA}">
      <text>
        <r>
          <rPr>
            <b/>
            <sz val="9"/>
            <color indexed="81"/>
            <rFont val="Tahoma"/>
            <family val="2"/>
            <charset val="186"/>
          </rPr>
          <t>Tõnis Hunt:</t>
        </r>
        <r>
          <rPr>
            <sz val="9"/>
            <color indexed="81"/>
            <rFont val="Tahoma"/>
            <family val="2"/>
            <charset val="186"/>
          </rPr>
          <t xml:space="preserve">
GT vahemik 2001-6000 üks operatsioon 225€</t>
        </r>
      </text>
    </comment>
    <comment ref="G12" authorId="0" shapeId="0" xr:uid="{BCF5AB81-5AB5-4FBB-BCF1-B6B0A6C06CA0}">
      <text>
        <r>
          <rPr>
            <b/>
            <sz val="9"/>
            <color indexed="81"/>
            <rFont val="Tahoma"/>
            <family val="2"/>
            <charset val="186"/>
          </rPr>
          <t>Tõnis Hunt:</t>
        </r>
        <r>
          <rPr>
            <sz val="9"/>
            <color indexed="81"/>
            <rFont val="Tahoma"/>
            <family val="2"/>
            <charset val="186"/>
          </rPr>
          <t xml:space="preserve">
Hind sisaldab ühte tundi tööd
Öötöö tasu lisandub 40%
https://www.sfportservice.fi/en/price-list-010321/</t>
        </r>
      </text>
    </comment>
    <comment ref="K12" authorId="0" shapeId="0" xr:uid="{49FB17EB-FAF5-4FA8-BCAE-05FFAB90103D}">
      <text>
        <r>
          <rPr>
            <b/>
            <sz val="9"/>
            <color indexed="81"/>
            <rFont val="Tahoma"/>
            <family val="2"/>
            <charset val="186"/>
          </rPr>
          <t>Tõnis Hunt:</t>
        </r>
        <r>
          <rPr>
            <sz val="9"/>
            <color indexed="81"/>
            <rFont val="Tahoma"/>
            <family val="2"/>
            <charset val="186"/>
          </rPr>
          <t xml:space="preserve">
375€ operatsioon vahemik 20001-40000
</t>
        </r>
      </text>
    </comment>
    <comment ref="M12" authorId="0" shapeId="0" xr:uid="{80372113-5510-4CC6-83D2-26D4E56E6553}">
      <text>
        <r>
          <rPr>
            <b/>
            <sz val="9"/>
            <color indexed="81"/>
            <rFont val="Tahoma"/>
            <family val="2"/>
            <charset val="186"/>
          </rPr>
          <t>Tõnis Hunt:</t>
        </r>
        <r>
          <rPr>
            <sz val="9"/>
            <color indexed="81"/>
            <rFont val="Tahoma"/>
            <family val="2"/>
            <charset val="186"/>
          </rPr>
          <t xml:space="preserve">
375€ operatsioon vahemik 20001-40000
</t>
        </r>
      </text>
    </comment>
    <comment ref="A13" authorId="0" shapeId="0" xr:uid="{993574D7-B7EC-4CA6-94E1-646068694E09}">
      <text>
        <r>
          <rPr>
            <b/>
            <sz val="9"/>
            <color indexed="81"/>
            <rFont val="Tahoma"/>
            <family val="2"/>
            <charset val="186"/>
          </rPr>
          <t>Tõnis Hunt:</t>
        </r>
        <r>
          <rPr>
            <sz val="9"/>
            <color indexed="81"/>
            <rFont val="Tahoma"/>
            <family val="2"/>
            <charset val="186"/>
          </rPr>
          <t xml:space="preserve">
Alternative terms:waste fee; sanitary fee; solid waste + sewage + oil-containing waste originating from engine room</t>
        </r>
      </text>
    </comment>
    <comment ref="C13" authorId="0" shapeId="0" xr:uid="{66C6267D-38EA-4DB7-85DE-1B761D554B63}">
      <text>
        <r>
          <rPr>
            <b/>
            <sz val="9"/>
            <color indexed="81"/>
            <rFont val="Tahoma"/>
            <family val="2"/>
            <charset val="186"/>
          </rPr>
          <t>Tõnis Hunt:</t>
        </r>
        <r>
          <rPr>
            <sz val="9"/>
            <color indexed="81"/>
            <rFont val="Tahoma"/>
            <family val="2"/>
            <charset val="186"/>
          </rPr>
          <t xml:space="preserve">
0,018 EUR/GT</t>
        </r>
      </text>
    </comment>
    <comment ref="E13" authorId="0" shapeId="0" xr:uid="{E42068C7-6B23-41E3-B141-F7E8511A5C6F}">
      <text>
        <r>
          <rPr>
            <b/>
            <sz val="9"/>
            <color indexed="81"/>
            <rFont val="Tahoma"/>
            <family val="2"/>
            <charset val="186"/>
          </rPr>
          <t>Tõnis Hunt:</t>
        </r>
        <r>
          <rPr>
            <sz val="9"/>
            <color indexed="81"/>
            <rFont val="Tahoma"/>
            <family val="2"/>
            <charset val="186"/>
          </rPr>
          <t xml:space="preserve">
0,1 €/GT</t>
        </r>
      </text>
    </comment>
    <comment ref="G13" authorId="0" shapeId="0" xr:uid="{858FB500-193D-48AE-A9BE-AC0CF5E4B6B8}">
      <text>
        <r>
          <rPr>
            <b/>
            <sz val="9"/>
            <color indexed="81"/>
            <rFont val="Tahoma"/>
            <family val="2"/>
            <charset val="186"/>
          </rPr>
          <t>Tõnis Hunt:</t>
        </r>
        <r>
          <rPr>
            <sz val="9"/>
            <color indexed="81"/>
            <rFont val="Tahoma"/>
            <family val="2"/>
            <charset val="186"/>
          </rPr>
          <t xml:space="preserve">
Võib saada soodustust, mis ei tooda õlist masinaruumi jäädet.
On mi (251€) ja mx (4385€) tasu</t>
        </r>
      </text>
    </comment>
    <comment ref="Q13" authorId="0" shapeId="0" xr:uid="{FAD0D6ED-CE13-4BE8-871C-56A0FD213FFC}">
      <text>
        <r>
          <rPr>
            <b/>
            <sz val="9"/>
            <color indexed="81"/>
            <rFont val="Tahoma"/>
            <family val="2"/>
            <charset val="186"/>
          </rPr>
          <t>Tõnis Hunt:</t>
        </r>
        <r>
          <rPr>
            <sz val="9"/>
            <color indexed="81"/>
            <rFont val="Tahoma"/>
            <family val="2"/>
            <charset val="186"/>
          </rPr>
          <t xml:space="preserve">
Jäätmetasu on laevatasu sees</t>
        </r>
      </text>
    </comment>
    <comment ref="G18" authorId="0" shapeId="0" xr:uid="{5326FA0A-1370-419D-AA32-A8E240197EFC}">
      <text>
        <r>
          <rPr>
            <b/>
            <sz val="9"/>
            <color indexed="81"/>
            <rFont val="Tahoma"/>
            <family val="2"/>
            <charset val="186"/>
          </rPr>
          <t>Tõnis Hunt:</t>
        </r>
        <r>
          <rPr>
            <sz val="9"/>
            <color indexed="81"/>
            <rFont val="Tahoma"/>
            <family val="2"/>
            <charset val="186"/>
          </rPr>
          <t xml:space="preserve">
150 trilerit/rekat *15 tonni per rekka *3,22
mõlemas suunas sama palju</t>
        </r>
      </text>
    </comment>
    <comment ref="C19" authorId="0" shapeId="0" xr:uid="{1C97676B-96AA-4DE6-80EB-C3E0FEFC53AD}">
      <text>
        <r>
          <rPr>
            <b/>
            <sz val="9"/>
            <color indexed="81"/>
            <rFont val="Tahoma"/>
            <family val="2"/>
            <charset val="186"/>
          </rPr>
          <t>Tõnis Hunt:</t>
        </r>
        <r>
          <rPr>
            <sz val="9"/>
            <color indexed="81"/>
            <rFont val="Tahoma"/>
            <family val="2"/>
            <charset val="186"/>
          </rPr>
          <t xml:space="preserve">
Muuga NW 7 miili
vahemik 24001-30000</t>
        </r>
      </text>
    </comment>
    <comment ref="E19" authorId="0" shapeId="0" xr:uid="{27188422-BEBE-4081-9C72-D3A1021B46EC}">
      <text>
        <r>
          <rPr>
            <b/>
            <sz val="9"/>
            <color indexed="81"/>
            <rFont val="Tahoma"/>
            <family val="2"/>
            <charset val="186"/>
          </rPr>
          <t>Tõnis Hunt:</t>
        </r>
        <r>
          <rPr>
            <sz val="9"/>
            <color indexed="81"/>
            <rFont val="Tahoma"/>
            <family val="2"/>
            <charset val="186"/>
          </rPr>
          <t xml:space="preserve">
Sillamäe 4 miili
vahemik 24001-30000</t>
        </r>
      </text>
    </comment>
    <comment ref="G19" authorId="0" shapeId="0" xr:uid="{07948877-10F7-4687-9F32-3774D2B84F29}">
      <text>
        <r>
          <rPr>
            <b/>
            <sz val="9"/>
            <color indexed="81"/>
            <rFont val="Tahoma"/>
            <family val="2"/>
            <charset val="186"/>
          </rPr>
          <t>Tõnis Hunt:</t>
        </r>
        <r>
          <rPr>
            <sz val="9"/>
            <color indexed="81"/>
            <rFont val="Tahoma"/>
            <family val="2"/>
            <charset val="186"/>
          </rPr>
          <t xml:space="preserve">
Vuosaarisse 9nm 6001-10000 NT Basic fee 894€ Mileage fee 9nm*54€/nm
1380€</t>
        </r>
      </text>
    </comment>
    <comment ref="I19" authorId="0" shapeId="0" xr:uid="{489D609E-70B5-4318-AB45-090028AA5D53}">
      <text>
        <r>
          <rPr>
            <b/>
            <sz val="9"/>
            <color indexed="81"/>
            <rFont val="Tahoma"/>
            <family val="2"/>
            <charset val="186"/>
          </rPr>
          <t>Tõnis Hunt:</t>
        </r>
        <r>
          <rPr>
            <sz val="9"/>
            <color indexed="81"/>
            <rFont val="Tahoma"/>
            <family val="2"/>
            <charset val="186"/>
          </rPr>
          <t xml:space="preserve">
Kotka sadam Veitkari pba 18 nm Basic fee 894€
18*54€ 
1866 üks ots</t>
        </r>
      </text>
    </comment>
    <comment ref="K19" authorId="0" shapeId="0" xr:uid="{B92F0C8F-5458-486F-9C45-E8F226DF2D4C}">
      <text>
        <r>
          <rPr>
            <b/>
            <sz val="9"/>
            <color indexed="81"/>
            <rFont val="Tahoma"/>
            <family val="2"/>
            <charset val="186"/>
          </rPr>
          <t>Tõnis Hunt:</t>
        </r>
        <r>
          <rPr>
            <sz val="9"/>
            <color indexed="81"/>
            <rFont val="Tahoma"/>
            <family val="2"/>
            <charset val="186"/>
          </rPr>
          <t xml:space="preserve">
Lootsitasu on sadamatasude sees
</t>
        </r>
      </text>
    </comment>
    <comment ref="M19" authorId="0" shapeId="0" xr:uid="{1FB6FF9C-5240-4D38-A432-58109E14EAD1}">
      <text>
        <r>
          <rPr>
            <b/>
            <sz val="9"/>
            <color indexed="81"/>
            <rFont val="Tahoma"/>
            <family val="2"/>
            <charset val="186"/>
          </rPr>
          <t>Tõnis Hunt:</t>
        </r>
        <r>
          <rPr>
            <sz val="9"/>
            <color indexed="81"/>
            <rFont val="Tahoma"/>
            <family val="2"/>
            <charset val="186"/>
          </rPr>
          <t xml:space="preserve">
Lootsitasu on sadamatasude sees
</t>
        </r>
      </text>
    </comment>
    <comment ref="Q19" authorId="0" shapeId="0" xr:uid="{0D5149F8-1A32-450F-ADC6-325743E19715}">
      <text>
        <r>
          <rPr>
            <b/>
            <sz val="9"/>
            <color indexed="81"/>
            <rFont val="Tahoma"/>
            <family val="2"/>
            <charset val="186"/>
          </rPr>
          <t>Tõnis Hunt:</t>
        </r>
        <r>
          <rPr>
            <sz val="9"/>
            <color indexed="81"/>
            <rFont val="Tahoma"/>
            <family val="2"/>
            <charset val="186"/>
          </rPr>
          <t xml:space="preserve">
Lootsimine 10 nm 
kestus 3*0,5h
</t>
        </r>
      </text>
    </comment>
    <comment ref="B20" authorId="0" shapeId="0" xr:uid="{C0DD75EA-708C-48A4-8C87-2A0252CD5352}">
      <text>
        <r>
          <rPr>
            <b/>
            <sz val="9"/>
            <color indexed="81"/>
            <rFont val="Tahoma"/>
            <charset val="1"/>
          </rPr>
          <t>Tõnis Hunt:</t>
        </r>
        <r>
          <rPr>
            <sz val="9"/>
            <color indexed="81"/>
            <rFont val="Tahoma"/>
            <charset val="1"/>
          </rPr>
          <t xml:space="preserve">
Alternative term: fairway due,
waterway fee/due, navigation fee/due
</t>
        </r>
      </text>
    </comment>
    <comment ref="C20" authorId="0" shapeId="0" xr:uid="{6FCDDFBD-6DE9-4F58-9908-97DA639E78F3}">
      <text>
        <r>
          <rPr>
            <b/>
            <sz val="9"/>
            <color indexed="81"/>
            <rFont val="Tahoma"/>
            <family val="2"/>
            <charset val="186"/>
          </rPr>
          <t>Tõnis Hunt:</t>
        </r>
        <r>
          <rPr>
            <sz val="9"/>
            <color indexed="81"/>
            <rFont val="Tahoma"/>
            <family val="2"/>
            <charset val="186"/>
          </rPr>
          <t xml:space="preserve">
Jääklass 1A 0,3€/GT
Kas 1 kord saabumise kohta või iga ööpäeva eest?
saab soodustust alates 10ndast korrast
https://www.transpordiamet.ee/veeteetasud</t>
        </r>
      </text>
    </comment>
    <comment ref="G20" authorId="0" shapeId="0" xr:uid="{4694627B-C4C8-4576-B7AE-DBD99164919A}">
      <text>
        <r>
          <rPr>
            <b/>
            <sz val="9"/>
            <color indexed="81"/>
            <rFont val="Tahoma"/>
            <family val="2"/>
            <charset val="186"/>
          </rPr>
          <t>Tõnis Hunt:</t>
        </r>
        <r>
          <rPr>
            <sz val="9"/>
            <color indexed="81"/>
            <rFont val="Tahoma"/>
            <family val="2"/>
            <charset val="186"/>
          </rPr>
          <t xml:space="preserve">
Jääklass IA 1,098*NT Võib väheneda sõltuvalt kui palju laev tegelikult kaupa veab soodustus 50% või 75%
Kui laeval on ainult transiit kaup, ka siis väheneb.
Kehtib ülempiir
https://tulli.fi/en/businesses/transport-and-warehousing/fairway-dues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Tõnis Hunt</author>
  </authors>
  <commentList>
    <comment ref="C9" authorId="0" shapeId="0" xr:uid="{249D7F9C-72C9-4414-BDF1-4FFF10F7FFDD}">
      <text>
        <r>
          <rPr>
            <b/>
            <sz val="9"/>
            <color indexed="81"/>
            <rFont val="Tahoma"/>
            <family val="2"/>
            <charset val="186"/>
          </rPr>
          <t>Tõnis Hunt:</t>
        </r>
        <r>
          <rPr>
            <sz val="9"/>
            <color indexed="81"/>
            <rFont val="Tahoma"/>
            <family val="2"/>
            <charset val="186"/>
          </rPr>
          <t xml:space="preserve">
0,82 EUR/GT
Soodustused reiside arvult
1. külastus 15%</t>
        </r>
      </text>
    </comment>
    <comment ref="F9" authorId="0" shapeId="0" xr:uid="{81505219-E0E5-4C29-8F9D-599317E3E38E}">
      <text>
        <r>
          <rPr>
            <b/>
            <sz val="9"/>
            <color indexed="81"/>
            <rFont val="Tahoma"/>
            <family val="2"/>
            <charset val="186"/>
          </rPr>
          <t>Tõnis Hunt:</t>
        </r>
        <r>
          <rPr>
            <sz val="9"/>
            <color indexed="81"/>
            <rFont val="Tahoma"/>
            <family val="2"/>
            <charset val="186"/>
          </rPr>
          <t xml:space="preserve">
1,050 €/GT
</t>
        </r>
      </text>
    </comment>
    <comment ref="H9" authorId="0" shapeId="0" xr:uid="{3B19AF17-8F69-4D68-8DBF-C1FB7156DA8C}">
      <text>
        <r>
          <rPr>
            <b/>
            <sz val="9"/>
            <color indexed="81"/>
            <rFont val="Tahoma"/>
            <family val="2"/>
            <charset val="186"/>
          </rPr>
          <t>Tõnis Hunt:</t>
        </r>
        <r>
          <rPr>
            <sz val="9"/>
            <color indexed="81"/>
            <rFont val="Tahoma"/>
            <family val="2"/>
            <charset val="186"/>
          </rPr>
          <t xml:space="preserve">
Kui laevaliin (mitte laev) külastaks sadamat min 3 korda nädalas oleks tonnaažitasu sodustus 65%)</t>
        </r>
      </text>
    </comment>
    <comment ref="C12" authorId="0" shapeId="0" xr:uid="{B64C6ABE-34D6-441B-8DE0-0CF686A29188}">
      <text>
        <r>
          <rPr>
            <b/>
            <sz val="9"/>
            <color indexed="81"/>
            <rFont val="Tahoma"/>
            <family val="2"/>
            <charset val="186"/>
          </rPr>
          <t>Tõnis Hunt:</t>
        </r>
        <r>
          <rPr>
            <sz val="9"/>
            <color indexed="81"/>
            <rFont val="Tahoma"/>
            <family val="2"/>
            <charset val="186"/>
          </rPr>
          <t xml:space="preserve">
GT vahemik 6001- 20000 üks operatsioon 223€</t>
        </r>
      </text>
    </comment>
    <comment ref="F12" authorId="0" shapeId="0" xr:uid="{79DC7BEC-C7D6-48F9-84A4-D5CC80BDAC77}">
      <text>
        <r>
          <rPr>
            <b/>
            <sz val="9"/>
            <color indexed="81"/>
            <rFont val="Tahoma"/>
            <family val="2"/>
            <charset val="186"/>
          </rPr>
          <t>Tõnis Hunt:</t>
        </r>
        <r>
          <rPr>
            <sz val="9"/>
            <color indexed="81"/>
            <rFont val="Tahoma"/>
            <family val="2"/>
            <charset val="186"/>
          </rPr>
          <t xml:space="preserve">
GT vahemik 6001- 20000 üks operatsioon 300€</t>
        </r>
      </text>
    </comment>
    <comment ref="Q12" authorId="0" shapeId="0" xr:uid="{CB204011-E9B0-48FD-BB5E-46AF7E4531E5}">
      <text>
        <r>
          <rPr>
            <b/>
            <sz val="9"/>
            <color indexed="81"/>
            <rFont val="Tahoma"/>
            <family val="2"/>
            <charset val="186"/>
          </rPr>
          <t>Tõnis Hunt:</t>
        </r>
        <r>
          <rPr>
            <sz val="9"/>
            <color indexed="81"/>
            <rFont val="Tahoma"/>
            <family val="2"/>
            <charset val="186"/>
          </rPr>
          <t xml:space="preserve">
Pole arvestatud 10% talvetariifi dets, jaan eest</t>
        </r>
      </text>
    </comment>
    <comment ref="A13" authorId="0" shapeId="0" xr:uid="{E1A7CEFB-E82E-4006-9EB8-2109C23C5B23}">
      <text>
        <r>
          <rPr>
            <b/>
            <sz val="9"/>
            <color indexed="81"/>
            <rFont val="Tahoma"/>
            <family val="2"/>
            <charset val="186"/>
          </rPr>
          <t>Tõnis Hunt:</t>
        </r>
        <r>
          <rPr>
            <sz val="9"/>
            <color indexed="81"/>
            <rFont val="Tahoma"/>
            <family val="2"/>
            <charset val="186"/>
          </rPr>
          <t xml:space="preserve">
Alternative terms:waste fee; sanitary fee; solid waste + sewage + oil-containing waste originating from engine room</t>
        </r>
      </text>
    </comment>
    <comment ref="C13" authorId="0" shapeId="0" xr:uid="{82E19A70-8EBC-4930-8B0F-6A8F31627822}">
      <text>
        <r>
          <rPr>
            <b/>
            <sz val="9"/>
            <color indexed="81"/>
            <rFont val="Tahoma"/>
            <family val="2"/>
            <charset val="186"/>
          </rPr>
          <t>Tõnis Hunt:</t>
        </r>
        <r>
          <rPr>
            <sz val="9"/>
            <color indexed="81"/>
            <rFont val="Tahoma"/>
            <family val="2"/>
            <charset val="186"/>
          </rPr>
          <t xml:space="preserve">
0,018 EUR/GT</t>
        </r>
      </text>
    </comment>
    <comment ref="F13" authorId="0" shapeId="0" xr:uid="{EAF67F3A-A11E-4AB9-845B-E5CBD393C536}">
      <text>
        <r>
          <rPr>
            <b/>
            <sz val="9"/>
            <color indexed="81"/>
            <rFont val="Tahoma"/>
            <family val="2"/>
            <charset val="186"/>
          </rPr>
          <t>Tõnis Hunt:</t>
        </r>
        <r>
          <rPr>
            <sz val="9"/>
            <color indexed="81"/>
            <rFont val="Tahoma"/>
            <family val="2"/>
            <charset val="186"/>
          </rPr>
          <t xml:space="preserve">
0,1 €/GT</t>
        </r>
      </text>
    </comment>
    <comment ref="O15" authorId="0" shapeId="0" xr:uid="{CC9950F3-69F2-49EF-9F9D-5E9AF4578D07}">
      <text>
        <r>
          <rPr>
            <b/>
            <sz val="9"/>
            <color indexed="81"/>
            <rFont val="Tahoma"/>
            <family val="2"/>
            <charset val="186"/>
          </rPr>
          <t>Tõnis Hunt:</t>
        </r>
        <r>
          <rPr>
            <sz val="9"/>
            <color indexed="81"/>
            <rFont val="Tahoma"/>
            <family val="2"/>
            <charset val="186"/>
          </rPr>
          <t xml:space="preserve">
Kuna summa ületas 131€ siis jääb 131€ kuna see on max</t>
        </r>
      </text>
    </comment>
    <comment ref="O18" authorId="0" shapeId="0" xr:uid="{5A6B9F0E-9122-4969-A55A-92F403D4147C}">
      <text>
        <r>
          <rPr>
            <b/>
            <sz val="9"/>
            <color indexed="81"/>
            <rFont val="Tahoma"/>
            <family val="2"/>
            <charset val="186"/>
          </rPr>
          <t>Tõnis Hunt:</t>
        </r>
        <r>
          <rPr>
            <sz val="9"/>
            <color indexed="81"/>
            <rFont val="Tahoma"/>
            <family val="2"/>
            <charset val="186"/>
          </rPr>
          <t xml:space="preserve">
TEU asemel konteiner
196 ühikut * 48,5</t>
        </r>
      </text>
    </comment>
    <comment ref="C19" authorId="0" shapeId="0" xr:uid="{51D47140-9278-4BCF-800B-A07193C17EC1}">
      <text>
        <r>
          <rPr>
            <b/>
            <sz val="9"/>
            <color indexed="81"/>
            <rFont val="Tahoma"/>
            <family val="2"/>
            <charset val="186"/>
          </rPr>
          <t>Tõnis Hunt:</t>
        </r>
        <r>
          <rPr>
            <sz val="9"/>
            <color indexed="81"/>
            <rFont val="Tahoma"/>
            <family val="2"/>
            <charset val="186"/>
          </rPr>
          <t xml:space="preserve">
Muuga NW 7 miili
vahemik 15001-18000 
1446€</t>
        </r>
      </text>
    </comment>
    <comment ref="F19" authorId="0" shapeId="0" xr:uid="{02C2F08B-A720-4A50-BC3A-CF0B6977CF43}">
      <text>
        <r>
          <rPr>
            <b/>
            <sz val="9"/>
            <color indexed="81"/>
            <rFont val="Tahoma"/>
            <family val="2"/>
            <charset val="186"/>
          </rPr>
          <t>Tõnis Hunt:</t>
        </r>
        <r>
          <rPr>
            <sz val="9"/>
            <color indexed="81"/>
            <rFont val="Tahoma"/>
            <family val="2"/>
            <charset val="186"/>
          </rPr>
          <t xml:space="preserve">
Sillamäe 4 miili
vahemik 3001-5000 </t>
        </r>
      </text>
    </comment>
    <comment ref="L19" authorId="0" shapeId="0" xr:uid="{B8FC0BFF-C625-456E-8915-6DB18B447E5B}">
      <text>
        <r>
          <rPr>
            <b/>
            <sz val="9"/>
            <color indexed="81"/>
            <rFont val="Tahoma"/>
            <family val="2"/>
            <charset val="186"/>
          </rPr>
          <t>Tõnis Hunt:</t>
        </r>
        <r>
          <rPr>
            <sz val="9"/>
            <color indexed="81"/>
            <rFont val="Tahoma"/>
            <family val="2"/>
            <charset val="186"/>
          </rPr>
          <t xml:space="preserve">
Vuosaarisse 9nm 6001-10000 NT Basic fee 894€ Mileage fee 9nm*54€/nm
1380€</t>
        </r>
      </text>
    </comment>
    <comment ref="B20" authorId="0" shapeId="0" xr:uid="{3EB26D98-22B9-4C99-9686-8B1FD408877B}">
      <text>
        <r>
          <rPr>
            <b/>
            <sz val="9"/>
            <color indexed="81"/>
            <rFont val="Tahoma"/>
            <charset val="1"/>
          </rPr>
          <t>Tõnis Hunt:</t>
        </r>
        <r>
          <rPr>
            <sz val="9"/>
            <color indexed="81"/>
            <rFont val="Tahoma"/>
            <charset val="1"/>
          </rPr>
          <t xml:space="preserve">
Alternative term: fairway due,
waterway fee/due, navigation fee/due
</t>
        </r>
      </text>
    </comment>
    <comment ref="C20" authorId="0" shapeId="0" xr:uid="{5C085C44-3B87-470D-A000-193CE4951612}">
      <text>
        <r>
          <rPr>
            <b/>
            <sz val="9"/>
            <color indexed="81"/>
            <rFont val="Tahoma"/>
            <family val="2"/>
            <charset val="186"/>
          </rPr>
          <t>Tõnis Hunt:</t>
        </r>
        <r>
          <rPr>
            <sz val="9"/>
            <color indexed="81"/>
            <rFont val="Tahoma"/>
            <family val="2"/>
            <charset val="186"/>
          </rPr>
          <t xml:space="preserve">
Jääklass 1A 0,3€/GT
Kas 1 kord saabumise kohta või iga ööpäeva eest?
saaks soodustust alates 10ndast korrast
https://www.transpordiamet.ee/veeteetasud</t>
        </r>
      </text>
    </comment>
    <comment ref="D20" authorId="0" shapeId="0" xr:uid="{8C1D6D40-90BC-4001-9262-1E8E994FEDE6}">
      <text>
        <r>
          <rPr>
            <b/>
            <sz val="9"/>
            <color indexed="81"/>
            <rFont val="Tahoma"/>
            <family val="2"/>
            <charset val="186"/>
          </rPr>
          <t>Tõnis Hunt:</t>
        </r>
        <r>
          <rPr>
            <sz val="9"/>
            <color indexed="81"/>
            <rFont val="Tahoma"/>
            <family val="2"/>
            <charset val="186"/>
          </rPr>
          <t xml:space="preserve">
Max 10 korra eest</t>
        </r>
      </text>
    </comment>
    <comment ref="E20" authorId="0" shapeId="0" xr:uid="{5A4D4836-6C2D-4AF2-86BC-45810AEA1A12}">
      <text>
        <r>
          <rPr>
            <b/>
            <sz val="9"/>
            <color indexed="81"/>
            <rFont val="Tahoma"/>
            <family val="2"/>
            <charset val="186"/>
          </rPr>
          <t>Tõnis Hunt:</t>
        </r>
        <r>
          <rPr>
            <sz val="9"/>
            <color indexed="81"/>
            <rFont val="Tahoma"/>
            <family val="2"/>
            <charset val="186"/>
          </rPr>
          <t xml:space="preserve">
Max 10 korra eest</t>
        </r>
      </text>
    </comment>
    <comment ref="F20" authorId="0" shapeId="0" xr:uid="{4440D898-C076-4340-B5D2-147EF6046457}">
      <text>
        <r>
          <rPr>
            <b/>
            <sz val="9"/>
            <color indexed="81"/>
            <rFont val="Tahoma"/>
            <family val="2"/>
            <charset val="186"/>
          </rPr>
          <t>Tõnis Hunt:</t>
        </r>
        <r>
          <rPr>
            <sz val="9"/>
            <color indexed="81"/>
            <rFont val="Tahoma"/>
            <family val="2"/>
            <charset val="186"/>
          </rPr>
          <t xml:space="preserve">
Jääklass 1A 0,3€/GT
Kas 1 kord saabumise kohta või iga ööpäeva eest?
saaks soodustust alates 10ndast korrast
https://www.transpordiamet.ee/veeteetasud</t>
        </r>
      </text>
    </comment>
    <comment ref="G20" authorId="0" shapeId="0" xr:uid="{C50F4089-5492-46F1-ADF4-B3A1A35CB50F}">
      <text>
        <r>
          <rPr>
            <b/>
            <sz val="9"/>
            <color indexed="81"/>
            <rFont val="Tahoma"/>
            <family val="2"/>
            <charset val="186"/>
          </rPr>
          <t>Tõnis Hunt:</t>
        </r>
        <r>
          <rPr>
            <sz val="9"/>
            <color indexed="81"/>
            <rFont val="Tahoma"/>
            <family val="2"/>
            <charset val="186"/>
          </rPr>
          <t xml:space="preserve">
Max 10 korra eest</t>
        </r>
      </text>
    </comment>
    <comment ref="H20" authorId="0" shapeId="0" xr:uid="{1D5C6DCE-A590-4592-A6D3-C0333C602C9D}">
      <text>
        <r>
          <rPr>
            <b/>
            <sz val="9"/>
            <color indexed="81"/>
            <rFont val="Tahoma"/>
            <family val="2"/>
            <charset val="186"/>
          </rPr>
          <t>Tõnis Hunt:</t>
        </r>
        <r>
          <rPr>
            <sz val="9"/>
            <color indexed="81"/>
            <rFont val="Tahoma"/>
            <family val="2"/>
            <charset val="186"/>
          </rPr>
          <t xml:space="preserve">
Max 10 korra eest</t>
        </r>
      </text>
    </comment>
    <comment ref="L20" authorId="0" shapeId="0" xr:uid="{61FBFC80-B89E-4ED5-BAE1-F4073E1FA896}">
      <text>
        <r>
          <rPr>
            <b/>
            <sz val="9"/>
            <color indexed="81"/>
            <rFont val="Tahoma"/>
            <family val="2"/>
            <charset val="186"/>
          </rPr>
          <t>Tõnis Hunt:</t>
        </r>
        <r>
          <rPr>
            <sz val="9"/>
            <color indexed="81"/>
            <rFont val="Tahoma"/>
            <family val="2"/>
            <charset val="186"/>
          </rPr>
          <t xml:space="preserve">
Jääklass IA 1,098*NT Võib väheneda sõltuvalt kui palju laev tegelikult kaupa veab soodustus 50% või 75%
Kui laeval on ainult transiit kaup, ka siis väheneb.
Kehtib ülempiir
https://tulli.fi/en/businesses/transport-and-warehousing/fairway-dues</t>
        </r>
      </text>
    </comment>
    <comment ref="O20" authorId="0" shapeId="0" xr:uid="{6007F0BD-7580-4642-ABD3-E9C369F62D8A}">
      <text>
        <r>
          <rPr>
            <b/>
            <sz val="9"/>
            <color indexed="81"/>
            <rFont val="Tahoma"/>
            <family val="2"/>
            <charset val="186"/>
          </rPr>
          <t>Tõnis Hunt:</t>
        </r>
        <r>
          <rPr>
            <sz val="9"/>
            <color indexed="81"/>
            <rFont val="Tahoma"/>
            <family val="2"/>
            <charset val="186"/>
          </rPr>
          <t xml:space="preserve">
Jääklass IA 1,098*NT Võib väheneda sõltuvalt kui palju laev tegelikult kaupa veab soodustus 50% või 75%
Kui laeval on ainult transiit kaup, ka siis väheneb.
Kehtib ülempiir
https://tulli.fi/en/businesses/transport-and-warehousing/fairway-dues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Tõnis Hunt</author>
  </authors>
  <commentList>
    <comment ref="C11" authorId="0" shapeId="0" xr:uid="{62BE532F-071C-4B4B-A51B-477CAAD710C8}">
      <text>
        <r>
          <rPr>
            <b/>
            <sz val="9"/>
            <color indexed="81"/>
            <rFont val="Tahoma"/>
            <family val="2"/>
            <charset val="186"/>
          </rPr>
          <t>Tõnis Hunt:</t>
        </r>
        <r>
          <rPr>
            <sz val="9"/>
            <color indexed="81"/>
            <rFont val="Tahoma"/>
            <family val="2"/>
            <charset val="186"/>
          </rPr>
          <t xml:space="preserve">
0,82 EUR/GT
</t>
        </r>
      </text>
    </comment>
    <comment ref="D11" authorId="0" shapeId="0" xr:uid="{0F6039F3-D31F-4005-83E2-53E251D78C52}">
      <text>
        <r>
          <rPr>
            <b/>
            <sz val="9"/>
            <color indexed="81"/>
            <rFont val="Tahoma"/>
            <family val="2"/>
            <charset val="186"/>
          </rPr>
          <t>Tõnis Hunt:</t>
        </r>
        <r>
          <rPr>
            <sz val="9"/>
            <color indexed="81"/>
            <rFont val="Tahoma"/>
            <family val="2"/>
            <charset val="186"/>
          </rPr>
          <t xml:space="preserve">
1,150 €/GT
</t>
        </r>
      </text>
    </comment>
    <comment ref="F11" authorId="0" shapeId="0" xr:uid="{EDD603C1-16B6-4EB0-AD8C-418BFC8BAB02}">
      <text>
        <r>
          <rPr>
            <b/>
            <sz val="9"/>
            <color indexed="81"/>
            <rFont val="Tahoma"/>
            <family val="2"/>
            <charset val="186"/>
          </rPr>
          <t>Tõnis Hunt:</t>
        </r>
        <r>
          <rPr>
            <sz val="9"/>
            <color indexed="81"/>
            <rFont val="Tahoma"/>
            <family val="2"/>
            <charset val="186"/>
          </rPr>
          <t xml:space="preserve">
0,3*GT väljumisel täislastis, sisenemisel ballastis 50%</t>
        </r>
      </text>
    </comment>
    <comment ref="G11" authorId="0" shapeId="0" xr:uid="{45A83FD4-5CAA-47CF-A7E5-41A2BF34F909}">
      <text>
        <r>
          <rPr>
            <b/>
            <sz val="9"/>
            <color indexed="81"/>
            <rFont val="Tahoma"/>
            <family val="2"/>
            <charset val="186"/>
          </rPr>
          <t>Tõnis Hunt:</t>
        </r>
        <r>
          <rPr>
            <sz val="9"/>
            <color indexed="81"/>
            <rFont val="Tahoma"/>
            <family val="2"/>
            <charset val="186"/>
          </rPr>
          <t xml:space="preserve">
0,59*NT</t>
        </r>
      </text>
    </comment>
    <comment ref="E12" authorId="0" shapeId="0" xr:uid="{153AC7E0-B21A-4A4A-BE22-210EF334E11E}">
      <text>
        <r>
          <rPr>
            <b/>
            <sz val="9"/>
            <color indexed="81"/>
            <rFont val="Tahoma"/>
            <family val="2"/>
            <charset val="186"/>
          </rPr>
          <t>Tõnis Hunt:</t>
        </r>
        <r>
          <rPr>
            <sz val="9"/>
            <color indexed="81"/>
            <rFont val="Tahoma"/>
            <family val="2"/>
            <charset val="186"/>
          </rPr>
          <t xml:space="preserve">
siseneb tühjalt (0,437*GT) ja väljub täislastis (0,875*GT). Sellest ka erinevad, vastavalt dokumendile.
</t>
        </r>
      </text>
    </comment>
    <comment ref="F12" authorId="0" shapeId="0" xr:uid="{2628B580-2396-4268-AA9E-31AFA832D6AC}">
      <text>
        <r>
          <rPr>
            <b/>
            <sz val="9"/>
            <color indexed="81"/>
            <rFont val="Tahoma"/>
            <family val="2"/>
            <charset val="186"/>
          </rPr>
          <t>Tõnis Hunt:</t>
        </r>
        <r>
          <rPr>
            <sz val="9"/>
            <color indexed="81"/>
            <rFont val="Tahoma"/>
            <family val="2"/>
            <charset val="186"/>
          </rPr>
          <t xml:space="preserve">
nii sisenemisel kui väljumisel 0,35*GT</t>
        </r>
      </text>
    </comment>
    <comment ref="E13" authorId="0" shapeId="0" xr:uid="{5191F980-0AAA-4B8B-9DDC-0A3789903C87}">
      <text>
        <r>
          <rPr>
            <b/>
            <sz val="9"/>
            <color indexed="81"/>
            <rFont val="Tahoma"/>
            <family val="2"/>
            <charset val="186"/>
          </rPr>
          <t>Tõnis Hunt:</t>
        </r>
        <r>
          <rPr>
            <sz val="9"/>
            <color indexed="81"/>
            <rFont val="Tahoma"/>
            <family val="2"/>
            <charset val="186"/>
          </rPr>
          <t xml:space="preserve">
0,09*GT</t>
        </r>
      </text>
    </comment>
    <comment ref="F13" authorId="0" shapeId="0" xr:uid="{42AF37DA-54A3-4D47-95DF-8A2FF9DE1274}">
      <text>
        <r>
          <rPr>
            <b/>
            <sz val="9"/>
            <color indexed="81"/>
            <rFont val="Tahoma"/>
            <family val="2"/>
            <charset val="186"/>
          </rPr>
          <t>Tõnis Hunt:</t>
        </r>
        <r>
          <rPr>
            <sz val="9"/>
            <color indexed="81"/>
            <rFont val="Tahoma"/>
            <family val="2"/>
            <charset val="186"/>
          </rPr>
          <t xml:space="preserve">
0,1*GT</t>
        </r>
      </text>
    </comment>
    <comment ref="C14" authorId="0" shapeId="0" xr:uid="{23946F21-D9A4-4A20-B4E4-BB0DCE8058D2}">
      <text>
        <r>
          <rPr>
            <b/>
            <sz val="9"/>
            <color indexed="81"/>
            <rFont val="Tahoma"/>
            <family val="2"/>
            <charset val="186"/>
          </rPr>
          <t>Tõnis Hunt:</t>
        </r>
        <r>
          <rPr>
            <sz val="9"/>
            <color indexed="81"/>
            <rFont val="Tahoma"/>
            <family val="2"/>
            <charset val="186"/>
          </rPr>
          <t xml:space="preserve">
GT vahemik 20001-50000 üks operatsioon 294€</t>
        </r>
      </text>
    </comment>
    <comment ref="D14" authorId="0" shapeId="0" xr:uid="{E2AD3ED9-A6FF-483F-AEA9-E2A4A55388D1}">
      <text>
        <r>
          <rPr>
            <b/>
            <sz val="9"/>
            <color indexed="81"/>
            <rFont val="Tahoma"/>
            <family val="2"/>
            <charset val="186"/>
          </rPr>
          <t>Tõnis Hunt:</t>
        </r>
        <r>
          <rPr>
            <sz val="9"/>
            <color indexed="81"/>
            <rFont val="Tahoma"/>
            <family val="2"/>
            <charset val="186"/>
          </rPr>
          <t xml:space="preserve">
GT vahemik 20001-50000 üks operatsioon 400€</t>
        </r>
      </text>
    </comment>
    <comment ref="E14" authorId="0" shapeId="0" xr:uid="{8EA80176-CA3A-41A0-93CE-1E5568A5B209}">
      <text>
        <r>
          <rPr>
            <b/>
            <sz val="9"/>
            <color indexed="81"/>
            <rFont val="Tahoma"/>
            <family val="2"/>
            <charset val="186"/>
          </rPr>
          <t>Tõnis Hunt:</t>
        </r>
        <r>
          <rPr>
            <sz val="9"/>
            <color indexed="81"/>
            <rFont val="Tahoma"/>
            <family val="2"/>
            <charset val="186"/>
          </rPr>
          <t xml:space="preserve">
GT vahemik 20001-40000
üks operatsioon 375</t>
        </r>
      </text>
    </comment>
    <comment ref="F14" authorId="0" shapeId="0" xr:uid="{70C7A0C9-92F2-4ED4-A0C8-38E4CEFCDF49}">
      <text>
        <r>
          <rPr>
            <b/>
            <sz val="9"/>
            <color indexed="81"/>
            <rFont val="Tahoma"/>
            <family val="2"/>
            <charset val="186"/>
          </rPr>
          <t>Tõnis Hunt:</t>
        </r>
        <r>
          <rPr>
            <sz val="9"/>
            <color indexed="81"/>
            <rFont val="Tahoma"/>
            <family val="2"/>
            <charset val="186"/>
          </rPr>
          <t xml:space="preserve">
2*320 mõlema operatsiooni eest RGT vahemik 20001-40000</t>
        </r>
      </text>
    </comment>
    <comment ref="G14" authorId="0" shapeId="0" xr:uid="{7BDE90D9-0682-45B2-A6FE-251EFD40ECF9}">
      <text>
        <r>
          <rPr>
            <b/>
            <sz val="9"/>
            <color indexed="81"/>
            <rFont val="Tahoma"/>
            <family val="2"/>
            <charset val="186"/>
          </rPr>
          <t>Tõnis Hunt:</t>
        </r>
        <r>
          <rPr>
            <sz val="9"/>
            <color indexed="81"/>
            <rFont val="Tahoma"/>
            <family val="2"/>
            <charset val="186"/>
          </rPr>
          <t xml:space="preserve">
484 operatsiooni kohta, NT vahemik 8001-</t>
        </r>
      </text>
    </comment>
    <comment ref="A15" authorId="0" shapeId="0" xr:uid="{23B0255A-0D84-4637-BB71-A067E1C13EEB}">
      <text>
        <r>
          <rPr>
            <b/>
            <sz val="9"/>
            <color indexed="81"/>
            <rFont val="Tahoma"/>
            <family val="2"/>
            <charset val="186"/>
          </rPr>
          <t>Tõnis Hunt:</t>
        </r>
        <r>
          <rPr>
            <sz val="9"/>
            <color indexed="81"/>
            <rFont val="Tahoma"/>
            <family val="2"/>
            <charset val="186"/>
          </rPr>
          <t xml:space="preserve">
Alternative terms:waste fee; sanitary fee; solid waste + sewage + oil-containing waste originating from engine room</t>
        </r>
      </text>
    </comment>
    <comment ref="C15" authorId="0" shapeId="0" xr:uid="{008749FE-D0DE-465C-9FFF-33EEA7B0B6BA}">
      <text>
        <r>
          <rPr>
            <b/>
            <sz val="9"/>
            <color indexed="81"/>
            <rFont val="Tahoma"/>
            <family val="2"/>
            <charset val="186"/>
          </rPr>
          <t>Tõnis Hunt:</t>
        </r>
        <r>
          <rPr>
            <sz val="9"/>
            <color indexed="81"/>
            <rFont val="Tahoma"/>
            <family val="2"/>
            <charset val="186"/>
          </rPr>
          <t xml:space="preserve">
0,018 EUR/GT</t>
        </r>
      </text>
    </comment>
    <comment ref="D15" authorId="0" shapeId="0" xr:uid="{A5D39FA3-0B39-48EB-91B8-E69A6BC3C89E}">
      <text>
        <r>
          <rPr>
            <b/>
            <sz val="9"/>
            <color indexed="81"/>
            <rFont val="Tahoma"/>
            <family val="2"/>
            <charset val="186"/>
          </rPr>
          <t>Tõnis Hunt:</t>
        </r>
        <r>
          <rPr>
            <sz val="9"/>
            <color indexed="81"/>
            <rFont val="Tahoma"/>
            <family val="2"/>
            <charset val="186"/>
          </rPr>
          <t xml:space="preserve">
0,1 €/GT</t>
        </r>
      </text>
    </comment>
    <comment ref="E16" authorId="0" shapeId="0" xr:uid="{B8AE6781-B658-47EB-A5DD-C3E48F96835F}">
      <text>
        <r>
          <rPr>
            <b/>
            <sz val="9"/>
            <color indexed="81"/>
            <rFont val="Tahoma"/>
            <family val="2"/>
            <charset val="186"/>
          </rPr>
          <t>Tõnis Hunt:</t>
        </r>
        <r>
          <rPr>
            <sz val="9"/>
            <color indexed="81"/>
            <rFont val="Tahoma"/>
            <family val="2"/>
            <charset val="186"/>
          </rPr>
          <t xml:space="preserve">
0,062*GT</t>
        </r>
      </text>
    </comment>
    <comment ref="F16" authorId="0" shapeId="0" xr:uid="{8A36B437-AEA1-4FE3-8A04-7A6E3F94AEB1}">
      <text>
        <r>
          <rPr>
            <b/>
            <sz val="9"/>
            <color indexed="81"/>
            <rFont val="Tahoma"/>
            <family val="2"/>
            <charset val="186"/>
          </rPr>
          <t>Tõnis Hunt:</t>
        </r>
        <r>
          <rPr>
            <sz val="9"/>
            <color indexed="81"/>
            <rFont val="Tahoma"/>
            <family val="2"/>
            <charset val="186"/>
          </rPr>
          <t xml:space="preserve">
0,06*GT kui laev seisab sadamas kuni 3 päeva. Kui seisab kauem siis kasvab ka tasu.</t>
        </r>
      </text>
    </comment>
    <comment ref="G17" authorId="0" shapeId="0" xr:uid="{1888E96E-C81C-460E-A2E7-64A1840C31B4}">
      <text>
        <r>
          <rPr>
            <b/>
            <sz val="9"/>
            <color indexed="81"/>
            <rFont val="Tahoma"/>
            <family val="2"/>
            <charset val="186"/>
          </rPr>
          <t>Tõnis Hunt:</t>
        </r>
        <r>
          <rPr>
            <sz val="9"/>
            <color indexed="81"/>
            <rFont val="Tahoma"/>
            <family val="2"/>
            <charset val="186"/>
          </rPr>
          <t xml:space="preserve">
0,09*NT min 45, max 131</t>
        </r>
      </text>
    </comment>
    <comment ref="G18" authorId="0" shapeId="0" xr:uid="{4F033EDB-AEA1-4B52-924B-61218FE34AE7}">
      <text>
        <r>
          <rPr>
            <b/>
            <sz val="9"/>
            <color indexed="81"/>
            <rFont val="Tahoma"/>
            <family val="2"/>
            <charset val="186"/>
          </rPr>
          <t>Tõnis Hunt:</t>
        </r>
        <r>
          <rPr>
            <sz val="9"/>
            <color indexed="81"/>
            <rFont val="Tahoma"/>
            <family val="2"/>
            <charset val="186"/>
          </rPr>
          <t xml:space="preserve">
0,19*NT min 226, max 1573</t>
        </r>
      </text>
    </comment>
    <comment ref="G19" authorId="0" shapeId="0" xr:uid="{A23BA63D-4448-48ED-80E3-E94EF4ADE04D}">
      <text>
        <r>
          <rPr>
            <b/>
            <sz val="9"/>
            <color indexed="81"/>
            <rFont val="Tahoma"/>
            <family val="2"/>
            <charset val="186"/>
          </rPr>
          <t>Tõnis Hunt:</t>
        </r>
        <r>
          <rPr>
            <sz val="9"/>
            <color indexed="81"/>
            <rFont val="Tahoma"/>
            <family val="2"/>
            <charset val="186"/>
          </rPr>
          <t xml:space="preserve">
0,02*NT</t>
        </r>
      </text>
    </comment>
    <comment ref="G20" authorId="0" shapeId="0" xr:uid="{D3F7A6C6-0E88-4810-9A0E-92486EB0079F}">
      <text>
        <r>
          <rPr>
            <b/>
            <sz val="9"/>
            <color indexed="81"/>
            <rFont val="Tahoma"/>
            <family val="2"/>
            <charset val="186"/>
          </rPr>
          <t>Tõnis Hunt:</t>
        </r>
        <r>
          <rPr>
            <sz val="9"/>
            <color indexed="81"/>
            <rFont val="Tahoma"/>
            <family val="2"/>
            <charset val="186"/>
          </rPr>
          <t xml:space="preserve">
dry bulk 1,19 €/t
laaditi 36000 tonni
</t>
        </r>
      </text>
    </comment>
    <comment ref="I20" authorId="0" shapeId="0" xr:uid="{B1F5ABAF-E69C-4606-B4BF-FCC6346237DF}">
      <text>
        <r>
          <rPr>
            <b/>
            <sz val="9"/>
            <color indexed="81"/>
            <rFont val="Tahoma"/>
            <family val="2"/>
            <charset val="186"/>
          </rPr>
          <t>Tõnis Hunt:</t>
        </r>
        <r>
          <rPr>
            <sz val="9"/>
            <color indexed="81"/>
            <rFont val="Tahoma"/>
            <family val="2"/>
            <charset val="186"/>
          </rPr>
          <t xml:space="preserve">
Dry bulk(tsementv õi teravili) 11,05 SEK* kaubakogus</t>
        </r>
      </text>
    </comment>
    <comment ref="C21" authorId="0" shapeId="0" xr:uid="{B67A36CA-723B-4F6A-B188-79C5C7F70781}">
      <text>
        <r>
          <rPr>
            <b/>
            <sz val="9"/>
            <color indexed="81"/>
            <rFont val="Tahoma"/>
            <family val="2"/>
            <charset val="186"/>
          </rPr>
          <t>Tõnis Hunt:</t>
        </r>
        <r>
          <rPr>
            <sz val="9"/>
            <color indexed="81"/>
            <rFont val="Tahoma"/>
            <family val="2"/>
            <charset val="186"/>
          </rPr>
          <t xml:space="preserve">
Muuga NW 7 miili
vahemik 18001-24000 
1682€</t>
        </r>
      </text>
    </comment>
    <comment ref="D21" authorId="0" shapeId="0" xr:uid="{1BAD48D0-7758-4EF9-B4E7-67148EBAE9F0}">
      <text>
        <r>
          <rPr>
            <b/>
            <sz val="9"/>
            <color indexed="81"/>
            <rFont val="Tahoma"/>
            <family val="2"/>
            <charset val="186"/>
          </rPr>
          <t>Tõnis Hunt:</t>
        </r>
        <r>
          <rPr>
            <sz val="9"/>
            <color indexed="81"/>
            <rFont val="Tahoma"/>
            <family val="2"/>
            <charset val="186"/>
          </rPr>
          <t xml:space="preserve">
Sillamäe 4 miili
vahemik 18001-24000 
1470€</t>
        </r>
      </text>
    </comment>
    <comment ref="F21" authorId="0" shapeId="0" xr:uid="{D8CB3112-5355-477F-9B49-3343B57C9E47}">
      <text>
        <r>
          <rPr>
            <b/>
            <sz val="9"/>
            <color indexed="81"/>
            <rFont val="Tahoma"/>
            <family val="2"/>
            <charset val="186"/>
          </rPr>
          <t>Tõnis Hunt:</t>
        </r>
        <r>
          <rPr>
            <sz val="9"/>
            <color indexed="81"/>
            <rFont val="Tahoma"/>
            <family val="2"/>
            <charset val="186"/>
          </rPr>
          <t xml:space="preserve">
iga operatsiooni eest 0,11*GT</t>
        </r>
      </text>
    </comment>
    <comment ref="G21" authorId="0" shapeId="0" xr:uid="{94DFC6DD-C042-4834-AC84-545BB8769B40}">
      <text>
        <r>
          <rPr>
            <b/>
            <sz val="9"/>
            <color indexed="81"/>
            <rFont val="Tahoma"/>
            <family val="2"/>
            <charset val="186"/>
          </rPr>
          <t>Tõnis Hunt:</t>
        </r>
        <r>
          <rPr>
            <sz val="9"/>
            <color indexed="81"/>
            <rFont val="Tahoma"/>
            <family val="2"/>
            <charset val="186"/>
          </rPr>
          <t xml:space="preserve">
Kotka port Mussalo
Basic fee 1014€
Mileage fee 16 nm*69€/nm
Price 2118€</t>
        </r>
      </text>
    </comment>
    <comment ref="I21" authorId="0" shapeId="0" xr:uid="{3D6C8DE9-0F6D-447C-B5E0-5A36D5B4ABB7}">
      <text>
        <r>
          <rPr>
            <b/>
            <sz val="9"/>
            <color indexed="81"/>
            <rFont val="Tahoma"/>
            <family val="2"/>
            <charset val="186"/>
          </rPr>
          <t>Tõnis Hunt:</t>
        </r>
        <r>
          <rPr>
            <sz val="9"/>
            <color indexed="81"/>
            <rFont val="Tahoma"/>
            <family val="2"/>
            <charset val="186"/>
          </rPr>
          <t xml:space="preserve">
Tellimine+alustustasu+6*0,5h</t>
        </r>
      </text>
    </comment>
    <comment ref="B22" authorId="0" shapeId="0" xr:uid="{49F49AE9-70D3-4D64-B100-2A801E3EDBAC}">
      <text>
        <r>
          <rPr>
            <b/>
            <sz val="9"/>
            <color indexed="81"/>
            <rFont val="Tahoma"/>
            <charset val="1"/>
          </rPr>
          <t>Tõnis Hunt:</t>
        </r>
        <r>
          <rPr>
            <sz val="9"/>
            <color indexed="81"/>
            <rFont val="Tahoma"/>
            <charset val="1"/>
          </rPr>
          <t xml:space="preserve">
Alternative term: fairway due,
waterway fee/due, navigation fee/due
</t>
        </r>
      </text>
    </comment>
    <comment ref="C22" authorId="0" shapeId="0" xr:uid="{07CDEFE0-B136-489E-80CA-4CB24FDF7960}">
      <text>
        <r>
          <rPr>
            <b/>
            <sz val="9"/>
            <color indexed="81"/>
            <rFont val="Tahoma"/>
            <family val="2"/>
            <charset val="186"/>
          </rPr>
          <t>Tõnis Hunt:</t>
        </r>
        <r>
          <rPr>
            <sz val="9"/>
            <color indexed="81"/>
            <rFont val="Tahoma"/>
            <family val="2"/>
            <charset val="186"/>
          </rPr>
          <t xml:space="preserve">
Jääklass 1C 0,35 €/GT
https://www.transpordiamet.ee/veeteetasud</t>
        </r>
      </text>
    </comment>
    <comment ref="D22" authorId="0" shapeId="0" xr:uid="{77231996-5530-4CB9-B8DE-B43681B4029E}">
      <text>
        <r>
          <rPr>
            <b/>
            <sz val="9"/>
            <color indexed="81"/>
            <rFont val="Tahoma"/>
            <family val="2"/>
            <charset val="186"/>
          </rPr>
          <t>Tõnis Hunt:</t>
        </r>
        <r>
          <rPr>
            <sz val="9"/>
            <color indexed="81"/>
            <rFont val="Tahoma"/>
            <family val="2"/>
            <charset val="186"/>
          </rPr>
          <t xml:space="preserve">
Jääklass 1C 0,35 €/GT
https://www.transpordiamet.ee/veeteetasud</t>
        </r>
      </text>
    </comment>
    <comment ref="G22" authorId="0" shapeId="0" xr:uid="{FE1A424A-71FB-4706-947C-4663C8651F90}">
      <text>
        <r>
          <rPr>
            <b/>
            <sz val="9"/>
            <color indexed="81"/>
            <rFont val="Tahoma"/>
            <family val="2"/>
            <charset val="186"/>
          </rPr>
          <t>Tõnis Hunt:</t>
        </r>
        <r>
          <rPr>
            <sz val="9"/>
            <color indexed="81"/>
            <rFont val="Tahoma"/>
            <family val="2"/>
            <charset val="186"/>
          </rPr>
          <t xml:space="preserve">
Jääklass IC 2,578*NT </t>
        </r>
      </text>
    </comment>
    <comment ref="I22" authorId="0" shapeId="0" xr:uid="{E147806B-FADA-433F-AA8F-3FE047FE91DB}">
      <text>
        <r>
          <rPr>
            <b/>
            <sz val="9"/>
            <color indexed="81"/>
            <rFont val="Tahoma"/>
            <family val="2"/>
            <charset val="186"/>
          </rPr>
          <t>Tõnis Hunt:</t>
        </r>
        <r>
          <rPr>
            <sz val="9"/>
            <color indexed="81"/>
            <rFont val="Tahoma"/>
            <family val="2"/>
            <charset val="186"/>
          </rPr>
          <t xml:space="preserve">
Valmisoleku tasu+keskkonnakategooria C+kaubatasu odav kaup</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Tõnis Hunt</author>
  </authors>
  <commentList>
    <comment ref="C4" authorId="0" shapeId="0" xr:uid="{AA7A39E8-0519-4FF4-84E6-F1686C18580E}">
      <text>
        <r>
          <rPr>
            <b/>
            <sz val="9"/>
            <color indexed="81"/>
            <rFont val="Tahoma"/>
            <family val="2"/>
            <charset val="186"/>
          </rPr>
          <t>Tõnis Hunt:</t>
        </r>
        <r>
          <rPr>
            <sz val="9"/>
            <color indexed="81"/>
            <rFont val="Tahoma"/>
            <family val="2"/>
            <charset val="186"/>
          </rPr>
          <t xml:space="preserve">
Kas peaks olema vähendatud GT?
</t>
        </r>
      </text>
    </comment>
    <comment ref="C11" authorId="0" shapeId="0" xr:uid="{3CE5B296-90D9-4320-A1B0-3989A2B44148}">
      <text>
        <r>
          <rPr>
            <b/>
            <sz val="9"/>
            <color indexed="81"/>
            <rFont val="Tahoma"/>
            <family val="2"/>
            <charset val="186"/>
          </rPr>
          <t>Tõnis Hunt:</t>
        </r>
        <r>
          <rPr>
            <sz val="9"/>
            <color indexed="81"/>
            <rFont val="Tahoma"/>
            <family val="2"/>
            <charset val="186"/>
          </rPr>
          <t xml:space="preserve">
1,86 EUR/GT
</t>
        </r>
      </text>
    </comment>
    <comment ref="D11" authorId="0" shapeId="0" xr:uid="{7CAB05E4-056F-427C-B0B6-B32E62ABAFB3}">
      <text>
        <r>
          <rPr>
            <b/>
            <sz val="9"/>
            <color indexed="81"/>
            <rFont val="Tahoma"/>
            <family val="2"/>
            <charset val="186"/>
          </rPr>
          <t>Tõnis Hunt:</t>
        </r>
        <r>
          <rPr>
            <sz val="9"/>
            <color indexed="81"/>
            <rFont val="Tahoma"/>
            <family val="2"/>
            <charset val="186"/>
          </rPr>
          <t xml:space="preserve">
2,1 €/GT
</t>
        </r>
      </text>
    </comment>
    <comment ref="F11" authorId="0" shapeId="0" xr:uid="{58C81D5B-FD92-4378-998F-EE0BB6E47293}">
      <text>
        <r>
          <rPr>
            <b/>
            <sz val="9"/>
            <color indexed="81"/>
            <rFont val="Tahoma"/>
            <family val="2"/>
            <charset val="186"/>
          </rPr>
          <t>Tõnis Hunt:</t>
        </r>
        <r>
          <rPr>
            <sz val="9"/>
            <color indexed="81"/>
            <rFont val="Tahoma"/>
            <family val="2"/>
            <charset val="186"/>
          </rPr>
          <t xml:space="preserve">
0,3*RGT väljumisel täislastis, sisenemisel ballastis 50%</t>
        </r>
      </text>
    </comment>
    <comment ref="G11" authorId="0" shapeId="0" xr:uid="{F17069EC-FDB7-4B09-A171-DE2656E407D6}">
      <text>
        <r>
          <rPr>
            <b/>
            <sz val="9"/>
            <color indexed="81"/>
            <rFont val="Tahoma"/>
            <family val="2"/>
            <charset val="186"/>
          </rPr>
          <t>Tõnis Hunt:</t>
        </r>
        <r>
          <rPr>
            <sz val="9"/>
            <color indexed="81"/>
            <rFont val="Tahoma"/>
            <family val="2"/>
            <charset val="186"/>
          </rPr>
          <t xml:space="preserve">
0,59*NT</t>
        </r>
      </text>
    </comment>
    <comment ref="E12" authorId="0" shapeId="0" xr:uid="{6BEAD6C4-0CBD-4794-99DF-CA1B5F9F09F8}">
      <text>
        <r>
          <rPr>
            <b/>
            <sz val="9"/>
            <color indexed="81"/>
            <rFont val="Tahoma"/>
            <family val="2"/>
            <charset val="186"/>
          </rPr>
          <t>Tõnis Hunt:</t>
        </r>
        <r>
          <rPr>
            <sz val="9"/>
            <color indexed="81"/>
            <rFont val="Tahoma"/>
            <family val="2"/>
            <charset val="186"/>
          </rPr>
          <t xml:space="preserve">
siseneb tühjalt (0,534*RGT) ja väljub täislastis (0,962*RGT). Sellest ka erinevad, vastavalt dokumendile.
</t>
        </r>
      </text>
    </comment>
    <comment ref="F12" authorId="0" shapeId="0" xr:uid="{6EFEBEE6-01B5-45BC-B7F5-B4630D3E82A3}">
      <text>
        <r>
          <rPr>
            <b/>
            <sz val="9"/>
            <color indexed="81"/>
            <rFont val="Tahoma"/>
            <family val="2"/>
            <charset val="186"/>
          </rPr>
          <t>Tõnis Hunt:</t>
        </r>
        <r>
          <rPr>
            <sz val="9"/>
            <color indexed="81"/>
            <rFont val="Tahoma"/>
            <family val="2"/>
            <charset val="186"/>
          </rPr>
          <t xml:space="preserve">
nii sisenemisel kui väljumisel 0,35*RGT</t>
        </r>
      </text>
    </comment>
    <comment ref="E13" authorId="0" shapeId="0" xr:uid="{5AA625DD-C4C8-400E-AE38-D3FEB9698269}">
      <text>
        <r>
          <rPr>
            <b/>
            <sz val="9"/>
            <color indexed="81"/>
            <rFont val="Tahoma"/>
            <family val="2"/>
            <charset val="186"/>
          </rPr>
          <t>Tõnis Hunt:</t>
        </r>
        <r>
          <rPr>
            <sz val="9"/>
            <color indexed="81"/>
            <rFont val="Tahoma"/>
            <family val="2"/>
            <charset val="186"/>
          </rPr>
          <t xml:space="preserve">
0,09*RGT</t>
        </r>
      </text>
    </comment>
    <comment ref="F13" authorId="0" shapeId="0" xr:uid="{BE3A4C29-95A0-49C4-AE9A-A819F7E43C62}">
      <text>
        <r>
          <rPr>
            <b/>
            <sz val="9"/>
            <color indexed="81"/>
            <rFont val="Tahoma"/>
            <family val="2"/>
            <charset val="186"/>
          </rPr>
          <t>Tõnis Hunt:</t>
        </r>
        <r>
          <rPr>
            <sz val="9"/>
            <color indexed="81"/>
            <rFont val="Tahoma"/>
            <family val="2"/>
            <charset val="186"/>
          </rPr>
          <t xml:space="preserve">
0,1*RGT</t>
        </r>
      </text>
    </comment>
    <comment ref="C14" authorId="0" shapeId="0" xr:uid="{E6DBA53B-F9F8-410F-9539-23B527351C62}">
      <text>
        <r>
          <rPr>
            <b/>
            <sz val="9"/>
            <color indexed="81"/>
            <rFont val="Tahoma"/>
            <family val="2"/>
            <charset val="186"/>
          </rPr>
          <t>Tõnis Hunt:</t>
        </r>
        <r>
          <rPr>
            <sz val="9"/>
            <color indexed="81"/>
            <rFont val="Tahoma"/>
            <family val="2"/>
            <charset val="186"/>
          </rPr>
          <t xml:space="preserve">
GT vahemik 6001-20000 üks operatsioon 223€</t>
        </r>
      </text>
    </comment>
    <comment ref="D14" authorId="0" shapeId="0" xr:uid="{07FA6455-2AA7-431D-A187-5DC028070220}">
      <text>
        <r>
          <rPr>
            <b/>
            <sz val="9"/>
            <color indexed="81"/>
            <rFont val="Tahoma"/>
            <family val="2"/>
            <charset val="186"/>
          </rPr>
          <t>Tõnis Hunt:</t>
        </r>
        <r>
          <rPr>
            <sz val="9"/>
            <color indexed="81"/>
            <rFont val="Tahoma"/>
            <family val="2"/>
            <charset val="186"/>
          </rPr>
          <t xml:space="preserve">
GT vahemik 6001-20000 üks operatsioon 300€</t>
        </r>
      </text>
    </comment>
    <comment ref="E14" authorId="0" shapeId="0" xr:uid="{D4F87C2E-218F-4757-B67C-9E7E41AE1EE3}">
      <text>
        <r>
          <rPr>
            <b/>
            <sz val="9"/>
            <color indexed="81"/>
            <rFont val="Tahoma"/>
            <family val="2"/>
            <charset val="186"/>
          </rPr>
          <t>Tõnis Hunt:</t>
        </r>
        <r>
          <rPr>
            <sz val="9"/>
            <color indexed="81"/>
            <rFont val="Tahoma"/>
            <family val="2"/>
            <charset val="186"/>
          </rPr>
          <t xml:space="preserve">
GT vahemik 10001-20000
üks operatsioon 235</t>
        </r>
      </text>
    </comment>
    <comment ref="F14" authorId="0" shapeId="0" xr:uid="{E9EF89C4-4A4C-4A99-8B4C-D4D220D4B19F}">
      <text>
        <r>
          <rPr>
            <b/>
            <sz val="9"/>
            <color indexed="81"/>
            <rFont val="Tahoma"/>
            <family val="2"/>
            <charset val="186"/>
          </rPr>
          <t>Tõnis Hunt:</t>
        </r>
        <r>
          <rPr>
            <sz val="9"/>
            <color indexed="81"/>
            <rFont val="Tahoma"/>
            <family val="2"/>
            <charset val="186"/>
          </rPr>
          <t xml:space="preserve">
2*230 mõlema operatsiooni eest RGT vahemik 10001-20000</t>
        </r>
      </text>
    </comment>
    <comment ref="G14" authorId="0" shapeId="0" xr:uid="{5147DE4B-1132-4FA0-902E-A8B62FE37271}">
      <text>
        <r>
          <rPr>
            <b/>
            <sz val="9"/>
            <color indexed="81"/>
            <rFont val="Tahoma"/>
            <family val="2"/>
            <charset val="186"/>
          </rPr>
          <t>Tõnis Hunt:</t>
        </r>
        <r>
          <rPr>
            <sz val="9"/>
            <color indexed="81"/>
            <rFont val="Tahoma"/>
            <family val="2"/>
            <charset val="186"/>
          </rPr>
          <t xml:space="preserve">
411 operatsiooni kohta, NT vahemik 6001-8000</t>
        </r>
      </text>
    </comment>
    <comment ref="A15" authorId="0" shapeId="0" xr:uid="{BC732599-C6E5-47A2-8480-FBA43B91A3D1}">
      <text>
        <r>
          <rPr>
            <b/>
            <sz val="9"/>
            <color indexed="81"/>
            <rFont val="Tahoma"/>
            <family val="2"/>
            <charset val="186"/>
          </rPr>
          <t>Tõnis Hunt:</t>
        </r>
        <r>
          <rPr>
            <sz val="9"/>
            <color indexed="81"/>
            <rFont val="Tahoma"/>
            <family val="2"/>
            <charset val="186"/>
          </rPr>
          <t xml:space="preserve">
Alternative terms:waste fee; sanitary fee; solid waste + sewage + oil-containing waste originating from engine room</t>
        </r>
      </text>
    </comment>
    <comment ref="C15" authorId="0" shapeId="0" xr:uid="{EB2E9BA7-A968-4DF9-B4DA-52FE9718C319}">
      <text>
        <r>
          <rPr>
            <b/>
            <sz val="9"/>
            <color indexed="81"/>
            <rFont val="Tahoma"/>
            <family val="2"/>
            <charset val="186"/>
          </rPr>
          <t>Tõnis Hunt:</t>
        </r>
        <r>
          <rPr>
            <sz val="9"/>
            <color indexed="81"/>
            <rFont val="Tahoma"/>
            <family val="2"/>
            <charset val="186"/>
          </rPr>
          <t xml:space="preserve">
0,018 EUR/GT</t>
        </r>
      </text>
    </comment>
    <comment ref="D15" authorId="0" shapeId="0" xr:uid="{3A0026EF-A861-4C77-A6D3-4B1B754B3B56}">
      <text>
        <r>
          <rPr>
            <b/>
            <sz val="9"/>
            <color indexed="81"/>
            <rFont val="Tahoma"/>
            <family val="2"/>
            <charset val="186"/>
          </rPr>
          <t>Tõnis Hunt:</t>
        </r>
        <r>
          <rPr>
            <sz val="9"/>
            <color indexed="81"/>
            <rFont val="Tahoma"/>
            <family val="2"/>
            <charset val="186"/>
          </rPr>
          <t xml:space="preserve">
0,1 €/GT</t>
        </r>
      </text>
    </comment>
    <comment ref="E16" authorId="0" shapeId="0" xr:uid="{9364F1C3-02A1-4EE0-991F-40A9F400CCCD}">
      <text>
        <r>
          <rPr>
            <b/>
            <sz val="9"/>
            <color indexed="81"/>
            <rFont val="Tahoma"/>
            <family val="2"/>
            <charset val="186"/>
          </rPr>
          <t>Tõnis Hunt:</t>
        </r>
        <r>
          <rPr>
            <sz val="9"/>
            <color indexed="81"/>
            <rFont val="Tahoma"/>
            <family val="2"/>
            <charset val="186"/>
          </rPr>
          <t xml:space="preserve">
0,062*RGT</t>
        </r>
      </text>
    </comment>
    <comment ref="F16" authorId="0" shapeId="0" xr:uid="{6384AFC8-045E-4576-A000-C71BEF61B275}">
      <text>
        <r>
          <rPr>
            <b/>
            <sz val="9"/>
            <color indexed="81"/>
            <rFont val="Tahoma"/>
            <family val="2"/>
            <charset val="186"/>
          </rPr>
          <t>Tõnis Hunt:</t>
        </r>
        <r>
          <rPr>
            <sz val="9"/>
            <color indexed="81"/>
            <rFont val="Tahoma"/>
            <family val="2"/>
            <charset val="186"/>
          </rPr>
          <t xml:space="preserve">
0,06*RGT kui laev seisab sadamas kuni 3 päeva. Kui seisab kauem siis kasvab ka tasu.</t>
        </r>
      </text>
    </comment>
    <comment ref="G17" authorId="0" shapeId="0" xr:uid="{DD42F4B2-346E-4CA8-9ED1-9570C51F0475}">
      <text>
        <r>
          <rPr>
            <b/>
            <sz val="9"/>
            <color indexed="81"/>
            <rFont val="Tahoma"/>
            <family val="2"/>
            <charset val="186"/>
          </rPr>
          <t>Tõnis Hunt:</t>
        </r>
        <r>
          <rPr>
            <sz val="9"/>
            <color indexed="81"/>
            <rFont val="Tahoma"/>
            <family val="2"/>
            <charset val="186"/>
          </rPr>
          <t xml:space="preserve">
0,09*NT min 45, max 131</t>
        </r>
      </text>
    </comment>
    <comment ref="G18" authorId="0" shapeId="0" xr:uid="{47FD823A-9D44-4448-9514-EF6AC0E15710}">
      <text>
        <r>
          <rPr>
            <b/>
            <sz val="9"/>
            <color indexed="81"/>
            <rFont val="Tahoma"/>
            <family val="2"/>
            <charset val="186"/>
          </rPr>
          <t>Tõnis Hunt:</t>
        </r>
        <r>
          <rPr>
            <sz val="9"/>
            <color indexed="81"/>
            <rFont val="Tahoma"/>
            <family val="2"/>
            <charset val="186"/>
          </rPr>
          <t xml:space="preserve">
0,19*NT min 226, max 1573</t>
        </r>
      </text>
    </comment>
    <comment ref="G19" authorId="0" shapeId="0" xr:uid="{82B4C681-A0A5-4290-9A56-0BEEE3FA3C06}">
      <text>
        <r>
          <rPr>
            <b/>
            <sz val="9"/>
            <color indexed="81"/>
            <rFont val="Tahoma"/>
            <family val="2"/>
            <charset val="186"/>
          </rPr>
          <t>Tõnis Hunt:</t>
        </r>
        <r>
          <rPr>
            <sz val="9"/>
            <color indexed="81"/>
            <rFont val="Tahoma"/>
            <family val="2"/>
            <charset val="186"/>
          </rPr>
          <t xml:space="preserve">
0,02*NT</t>
        </r>
      </text>
    </comment>
    <comment ref="G20" authorId="0" shapeId="0" xr:uid="{53A1E5BE-CA8C-4DDB-94D8-1E5BD7228864}">
      <text>
        <r>
          <rPr>
            <b/>
            <sz val="9"/>
            <color indexed="81"/>
            <rFont val="Tahoma"/>
            <family val="2"/>
            <charset val="186"/>
          </rPr>
          <t>Tõnis Hunt:</t>
        </r>
        <r>
          <rPr>
            <sz val="9"/>
            <color indexed="81"/>
            <rFont val="Tahoma"/>
            <family val="2"/>
            <charset val="186"/>
          </rPr>
          <t xml:space="preserve">
naftasaadused 1,35 €/t
laaditi 25000 tonni
</t>
        </r>
      </text>
    </comment>
    <comment ref="C21" authorId="0" shapeId="0" xr:uid="{85E1A815-ABE8-4A77-9806-AADF7F64BCD2}">
      <text>
        <r>
          <rPr>
            <b/>
            <sz val="9"/>
            <color indexed="81"/>
            <rFont val="Tahoma"/>
            <family val="2"/>
            <charset val="186"/>
          </rPr>
          <t>Tõnis Hunt:</t>
        </r>
        <r>
          <rPr>
            <sz val="9"/>
            <color indexed="81"/>
            <rFont val="Tahoma"/>
            <family val="2"/>
            <charset val="186"/>
          </rPr>
          <t xml:space="preserve">
Muuga NW 7 miili
vahemik 15001-18000 
1446€</t>
        </r>
      </text>
    </comment>
    <comment ref="D21" authorId="0" shapeId="0" xr:uid="{F8132712-69BA-4F9E-BA3C-8572B2E6DA68}">
      <text>
        <r>
          <rPr>
            <b/>
            <sz val="9"/>
            <color indexed="81"/>
            <rFont val="Tahoma"/>
            <family val="2"/>
            <charset val="186"/>
          </rPr>
          <t>Tõnis Hunt:</t>
        </r>
        <r>
          <rPr>
            <sz val="9"/>
            <color indexed="81"/>
            <rFont val="Tahoma"/>
            <family val="2"/>
            <charset val="186"/>
          </rPr>
          <t xml:space="preserve">
Sillamäe 4 miili
vahemik 15001-18000 
1285€</t>
        </r>
      </text>
    </comment>
    <comment ref="F21" authorId="0" shapeId="0" xr:uid="{C755C744-416E-4505-9C94-973AC3684ECA}">
      <text>
        <r>
          <rPr>
            <b/>
            <sz val="9"/>
            <color indexed="81"/>
            <rFont val="Tahoma"/>
            <family val="2"/>
            <charset val="186"/>
          </rPr>
          <t>Tõnis Hunt:</t>
        </r>
        <r>
          <rPr>
            <sz val="9"/>
            <color indexed="81"/>
            <rFont val="Tahoma"/>
            <family val="2"/>
            <charset val="186"/>
          </rPr>
          <t xml:space="preserve">
iga operatsiooni eest 0,11*RGT</t>
        </r>
      </text>
    </comment>
    <comment ref="G21" authorId="0" shapeId="0" xr:uid="{C60C7EDD-8DB4-4664-AA0E-0617D91F0E72}">
      <text>
        <r>
          <rPr>
            <b/>
            <sz val="9"/>
            <color indexed="81"/>
            <rFont val="Tahoma"/>
            <family val="2"/>
            <charset val="186"/>
          </rPr>
          <t>Tõnis Hunt:</t>
        </r>
        <r>
          <rPr>
            <sz val="9"/>
            <color indexed="81"/>
            <rFont val="Tahoma"/>
            <family val="2"/>
            <charset val="186"/>
          </rPr>
          <t xml:space="preserve">
Kotka port Mussalo
Basic fee 894€
Mileage fee 20 nm*54€/nm
Price 1974€</t>
        </r>
      </text>
    </comment>
    <comment ref="B22" authorId="0" shapeId="0" xr:uid="{687AA9A7-4C99-4752-8FE6-A363EBA93FB6}">
      <text>
        <r>
          <rPr>
            <b/>
            <sz val="9"/>
            <color indexed="81"/>
            <rFont val="Tahoma"/>
            <charset val="1"/>
          </rPr>
          <t>Tõnis Hunt:</t>
        </r>
        <r>
          <rPr>
            <sz val="9"/>
            <color indexed="81"/>
            <rFont val="Tahoma"/>
            <charset val="1"/>
          </rPr>
          <t xml:space="preserve">
Alternative term: fairway due,
waterway fee/due, navigation fee/due
</t>
        </r>
      </text>
    </comment>
    <comment ref="C22" authorId="0" shapeId="0" xr:uid="{6965121B-D1ED-446E-BD48-A93F0B8BA90C}">
      <text>
        <r>
          <rPr>
            <b/>
            <sz val="9"/>
            <color indexed="81"/>
            <rFont val="Tahoma"/>
            <family val="2"/>
            <charset val="186"/>
          </rPr>
          <t>Tõnis Hunt:</t>
        </r>
        <r>
          <rPr>
            <sz val="9"/>
            <color indexed="81"/>
            <rFont val="Tahoma"/>
            <family val="2"/>
            <charset val="186"/>
          </rPr>
          <t xml:space="preserve">
Jääklass 1A Super 0,28 €/GT
Kas 1 kord saabumise kohta või iga ööpäeva eest?
saaks soodustust alates 10ndast korrast
https://www.transpordiamet.ee/veeteetasud</t>
        </r>
      </text>
    </comment>
    <comment ref="D22" authorId="0" shapeId="0" xr:uid="{70D273F5-F305-4D44-A67F-D496B6154CC0}">
      <text>
        <r>
          <rPr>
            <b/>
            <sz val="9"/>
            <color indexed="81"/>
            <rFont val="Tahoma"/>
            <family val="2"/>
            <charset val="186"/>
          </rPr>
          <t>Tõnis Hunt:</t>
        </r>
        <r>
          <rPr>
            <sz val="9"/>
            <color indexed="81"/>
            <rFont val="Tahoma"/>
            <family val="2"/>
            <charset val="186"/>
          </rPr>
          <t xml:space="preserve">
Jääklass 1A Super 0,28€/GT
Kas 1 kord saabumise kohta või iga ööpäeva eest?
saaks soodustust alates 10ndast korrast
https://www.transpordiamet.ee/veeteetasud</t>
        </r>
      </text>
    </comment>
    <comment ref="G22" authorId="0" shapeId="0" xr:uid="{2A60CB46-7284-49F4-A54E-E0552815F927}">
      <text>
        <r>
          <rPr>
            <b/>
            <sz val="9"/>
            <color indexed="81"/>
            <rFont val="Tahoma"/>
            <family val="2"/>
            <charset val="186"/>
          </rPr>
          <t>Tõnis Hunt:</t>
        </r>
        <r>
          <rPr>
            <sz val="9"/>
            <color indexed="81"/>
            <rFont val="Tahoma"/>
            <family val="2"/>
            <charset val="186"/>
          </rPr>
          <t xml:space="preserve">
Jääklass IaSuper 0,47*NT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Tõnis Hunt</author>
  </authors>
  <commentList>
    <comment ref="C9" authorId="0" shapeId="0" xr:uid="{CAE760FD-178B-454E-98C5-F659A80D4B15}">
      <text>
        <r>
          <rPr>
            <b/>
            <sz val="9"/>
            <color indexed="81"/>
            <rFont val="Tahoma"/>
            <family val="2"/>
            <charset val="186"/>
          </rPr>
          <t>Tõnis Hunt:</t>
        </r>
        <r>
          <rPr>
            <sz val="9"/>
            <color indexed="81"/>
            <rFont val="Tahoma"/>
            <family val="2"/>
            <charset val="186"/>
          </rPr>
          <t xml:space="preserve">
0,82 EUR/GT
</t>
        </r>
      </text>
    </comment>
    <comment ref="D9" authorId="0" shapeId="0" xr:uid="{70ED1C6E-EA0C-43AE-A538-CB7AACFD483A}">
      <text>
        <r>
          <rPr>
            <b/>
            <sz val="9"/>
            <color indexed="81"/>
            <rFont val="Tahoma"/>
            <family val="2"/>
            <charset val="186"/>
          </rPr>
          <t>Tõnis Hunt:</t>
        </r>
        <r>
          <rPr>
            <sz val="9"/>
            <color indexed="81"/>
            <rFont val="Tahoma"/>
            <family val="2"/>
            <charset val="186"/>
          </rPr>
          <t xml:space="preserve">
1,050 €/GT
</t>
        </r>
      </text>
    </comment>
    <comment ref="E9" authorId="0" shapeId="0" xr:uid="{7FE3B548-B30D-4DDF-B0AE-550EC5BD365C}">
      <text>
        <r>
          <rPr>
            <b/>
            <sz val="9"/>
            <color indexed="81"/>
            <rFont val="Tahoma"/>
            <family val="2"/>
            <charset val="186"/>
          </rPr>
          <t>Tõnis Hunt:</t>
        </r>
        <r>
          <rPr>
            <sz val="9"/>
            <color indexed="81"/>
            <rFont val="Tahoma"/>
            <family val="2"/>
            <charset val="186"/>
          </rPr>
          <t xml:space="preserve">
Võib saada soodustust kui sama laevafirma laevadelt kasseritav nt summa ületab poole aasta jooskul 100 tuh. 200 tuh. 400 tuh. 800 tuh nt
Samuti võib saada keskkonna soodustust kas ESI põhjal või müra suuruse põhjal</t>
        </r>
      </text>
    </comment>
    <comment ref="H9" authorId="0" shapeId="0" xr:uid="{168439AB-AB74-4A17-9E60-243578AB59CF}">
      <text>
        <r>
          <rPr>
            <b/>
            <sz val="9"/>
            <color indexed="81"/>
            <rFont val="Tahoma"/>
            <family val="2"/>
            <charset val="186"/>
          </rPr>
          <t>Tõnis Hunt:</t>
        </r>
        <r>
          <rPr>
            <sz val="9"/>
            <color indexed="81"/>
            <rFont val="Tahoma"/>
            <family val="2"/>
            <charset val="186"/>
          </rPr>
          <t xml:space="preserve">
GT*0,22*iga sisenemine ja väljumine ja kuna on kaupa vähe ja üks ots ballastis siis 50% soodustust</t>
        </r>
      </text>
    </comment>
    <comment ref="G10" authorId="0" shapeId="0" xr:uid="{5DC6415E-7B7D-4D5C-9187-1A39AA80D3FF}">
      <text>
        <r>
          <rPr>
            <b/>
            <sz val="9"/>
            <color indexed="81"/>
            <rFont val="Tahoma"/>
            <family val="2"/>
            <charset val="186"/>
          </rPr>
          <t>Tõnis Hunt:</t>
        </r>
        <r>
          <rPr>
            <sz val="9"/>
            <color indexed="81"/>
            <rFont val="Tahoma"/>
            <family val="2"/>
            <charset val="186"/>
          </rPr>
          <t xml:space="preserve">
Kuna tuleb tühjalt ja läheb täis näiteks siis kaubaga laev täistasu, ballastis pool.</t>
        </r>
      </text>
    </comment>
    <comment ref="H10" authorId="0" shapeId="0" xr:uid="{A8CB87BA-106B-4475-BE72-5A57F431A6EB}">
      <text>
        <r>
          <rPr>
            <b/>
            <sz val="9"/>
            <color indexed="81"/>
            <rFont val="Tahoma"/>
            <family val="2"/>
            <charset val="186"/>
          </rPr>
          <t>Tõnis Hunt:</t>
        </r>
        <r>
          <rPr>
            <sz val="9"/>
            <color indexed="81"/>
            <rFont val="Tahoma"/>
            <family val="2"/>
            <charset val="186"/>
          </rPr>
          <t xml:space="preserve">
GT*0,35*2*50% kuna üks tühjalt ja teine alla 60% dedveidi</t>
        </r>
      </text>
    </comment>
    <comment ref="G11" authorId="0" shapeId="0" xr:uid="{E10DF952-8D74-42B1-B0F6-2E4B1F3CCD5A}">
      <text>
        <r>
          <rPr>
            <b/>
            <sz val="9"/>
            <color indexed="81"/>
            <rFont val="Tahoma"/>
            <family val="2"/>
            <charset val="186"/>
          </rPr>
          <t>Tõnis Hunt:</t>
        </r>
        <r>
          <rPr>
            <sz val="9"/>
            <color indexed="81"/>
            <rFont val="Tahoma"/>
            <family val="2"/>
            <charset val="186"/>
          </rPr>
          <t xml:space="preserve">
berthing dues
</t>
        </r>
      </text>
    </comment>
    <comment ref="C12" authorId="0" shapeId="0" xr:uid="{DDE6D5E1-0394-4251-9C83-0DAFDAFAA62C}">
      <text>
        <r>
          <rPr>
            <b/>
            <sz val="9"/>
            <color indexed="81"/>
            <rFont val="Tahoma"/>
            <family val="2"/>
            <charset val="186"/>
          </rPr>
          <t>Tõnis Hunt:</t>
        </r>
        <r>
          <rPr>
            <sz val="9"/>
            <color indexed="81"/>
            <rFont val="Tahoma"/>
            <family val="2"/>
            <charset val="186"/>
          </rPr>
          <t xml:space="preserve">
GT vahemik 2001-6000 üks operatsioon 171€</t>
        </r>
      </text>
    </comment>
    <comment ref="D12" authorId="0" shapeId="0" xr:uid="{0A329DB5-7867-4093-BDCE-BCC22F522971}">
      <text>
        <r>
          <rPr>
            <b/>
            <sz val="9"/>
            <color indexed="81"/>
            <rFont val="Tahoma"/>
            <family val="2"/>
            <charset val="186"/>
          </rPr>
          <t>Tõnis Hunt:</t>
        </r>
        <r>
          <rPr>
            <sz val="9"/>
            <color indexed="81"/>
            <rFont val="Tahoma"/>
            <family val="2"/>
            <charset val="186"/>
          </rPr>
          <t xml:space="preserve">
GT vahemik 2001-6000 üks operatsioon 225€</t>
        </r>
      </text>
    </comment>
    <comment ref="E12" authorId="0" shapeId="0" xr:uid="{9166DBA2-7DCB-4739-93D0-AD7C9B2BE825}">
      <text>
        <r>
          <rPr>
            <b/>
            <sz val="9"/>
            <color indexed="81"/>
            <rFont val="Tahoma"/>
            <family val="2"/>
            <charset val="186"/>
          </rPr>
          <t>Tõnis Hunt:</t>
        </r>
        <r>
          <rPr>
            <sz val="9"/>
            <color indexed="81"/>
            <rFont val="Tahoma"/>
            <family val="2"/>
            <charset val="186"/>
          </rPr>
          <t xml:space="preserve">
Hind sisaldab ühte tundi tööd
Öötöö tasu lisandub 40%
https://www.sfportservice.fi/en/price-list-010321/</t>
        </r>
      </text>
    </comment>
    <comment ref="F12" authorId="0" shapeId="0" xr:uid="{D9915B99-C1E4-400D-B4EF-6FBC54AD9D70}">
      <text>
        <r>
          <rPr>
            <b/>
            <sz val="9"/>
            <color indexed="81"/>
            <rFont val="Tahoma"/>
            <family val="2"/>
            <charset val="186"/>
          </rPr>
          <t>Tõnis Hunt:</t>
        </r>
        <r>
          <rPr>
            <sz val="9"/>
            <color indexed="81"/>
            <rFont val="Tahoma"/>
            <family val="2"/>
            <charset val="186"/>
          </rPr>
          <t xml:space="preserve">
vahemik 2001-4000 üks operatsioon 272€
Tasu kasvab kui on öötöö ja pühadel.</t>
        </r>
      </text>
    </comment>
    <comment ref="A13" authorId="0" shapeId="0" xr:uid="{749B55E4-C8FF-4B9E-8851-76E173643254}">
      <text>
        <r>
          <rPr>
            <b/>
            <sz val="9"/>
            <color indexed="81"/>
            <rFont val="Tahoma"/>
            <family val="2"/>
            <charset val="186"/>
          </rPr>
          <t>Tõnis Hunt:</t>
        </r>
        <r>
          <rPr>
            <sz val="9"/>
            <color indexed="81"/>
            <rFont val="Tahoma"/>
            <family val="2"/>
            <charset val="186"/>
          </rPr>
          <t xml:space="preserve">
Alternative terms:waste fee; sanitary fee; solid waste + sewage + oil-containing waste originating from engine room</t>
        </r>
      </text>
    </comment>
    <comment ref="C13" authorId="0" shapeId="0" xr:uid="{5325E0AF-F667-40F0-B4EF-419F2F6DA40F}">
      <text>
        <r>
          <rPr>
            <b/>
            <sz val="9"/>
            <color indexed="81"/>
            <rFont val="Tahoma"/>
            <family val="2"/>
            <charset val="186"/>
          </rPr>
          <t>Tõnis Hunt:</t>
        </r>
        <r>
          <rPr>
            <sz val="9"/>
            <color indexed="81"/>
            <rFont val="Tahoma"/>
            <family val="2"/>
            <charset val="186"/>
          </rPr>
          <t xml:space="preserve">
0,018 EUR/GT</t>
        </r>
      </text>
    </comment>
    <comment ref="D13" authorId="0" shapeId="0" xr:uid="{39EDD7E7-B612-40EC-8CBE-019982168A71}">
      <text>
        <r>
          <rPr>
            <b/>
            <sz val="9"/>
            <color indexed="81"/>
            <rFont val="Tahoma"/>
            <family val="2"/>
            <charset val="186"/>
          </rPr>
          <t>Tõnis Hunt:</t>
        </r>
        <r>
          <rPr>
            <sz val="9"/>
            <color indexed="81"/>
            <rFont val="Tahoma"/>
            <family val="2"/>
            <charset val="186"/>
          </rPr>
          <t xml:space="preserve">
0,1 €/GT</t>
        </r>
      </text>
    </comment>
    <comment ref="E13" authorId="0" shapeId="0" xr:uid="{A7D73A18-E50B-4FEA-89E9-0F28EF09A472}">
      <text>
        <r>
          <rPr>
            <b/>
            <sz val="9"/>
            <color indexed="81"/>
            <rFont val="Tahoma"/>
            <family val="2"/>
            <charset val="186"/>
          </rPr>
          <t>Tõnis Hunt:</t>
        </r>
        <r>
          <rPr>
            <sz val="9"/>
            <color indexed="81"/>
            <rFont val="Tahoma"/>
            <family val="2"/>
            <charset val="186"/>
          </rPr>
          <t xml:space="preserve">
Võib saada soodustust, mis ei tooda õlist masinaruumi jäädet.
On mi (251€) ja mx (4385€) tasu</t>
        </r>
      </text>
    </comment>
    <comment ref="E18" authorId="0" shapeId="0" xr:uid="{7D1D54C8-CF0A-4E92-8C54-A0B9A5E58224}">
      <text>
        <r>
          <rPr>
            <b/>
            <sz val="9"/>
            <color indexed="81"/>
            <rFont val="Tahoma"/>
            <family val="2"/>
            <charset val="186"/>
          </rPr>
          <t>Tõnis Hunt:</t>
        </r>
        <r>
          <rPr>
            <sz val="9"/>
            <color indexed="81"/>
            <rFont val="Tahoma"/>
            <family val="2"/>
            <charset val="186"/>
          </rPr>
          <t xml:space="preserve">
Näiteks turvas 6570 m3 ca 1200 t
SEDA VÕTAB SADAM mitte stividor
https://finnpilot.fi/en/for-customers/pilotage-fees/</t>
        </r>
      </text>
    </comment>
    <comment ref="C19" authorId="0" shapeId="0" xr:uid="{091C06D5-EFAF-4898-962C-83B66A615F40}">
      <text>
        <r>
          <rPr>
            <b/>
            <sz val="9"/>
            <color indexed="81"/>
            <rFont val="Tahoma"/>
            <family val="2"/>
            <charset val="186"/>
          </rPr>
          <t>Tõnis Hunt:</t>
        </r>
        <r>
          <rPr>
            <sz val="9"/>
            <color indexed="81"/>
            <rFont val="Tahoma"/>
            <family val="2"/>
            <charset val="186"/>
          </rPr>
          <t xml:space="preserve">
Muuga NW 7 miili
vahemik 3001-5000 </t>
        </r>
      </text>
    </comment>
    <comment ref="D19" authorId="0" shapeId="0" xr:uid="{080B3482-DCC3-4D35-B25A-447CB8D4F479}">
      <text>
        <r>
          <rPr>
            <b/>
            <sz val="9"/>
            <color indexed="81"/>
            <rFont val="Tahoma"/>
            <family val="2"/>
            <charset val="186"/>
          </rPr>
          <t>Tõnis Hunt:</t>
        </r>
        <r>
          <rPr>
            <sz val="9"/>
            <color indexed="81"/>
            <rFont val="Tahoma"/>
            <family val="2"/>
            <charset val="186"/>
          </rPr>
          <t xml:space="preserve">
Sillamäe 4 miili
vahemik 3001-5000 </t>
        </r>
      </text>
    </comment>
    <comment ref="E19" authorId="0" shapeId="0" xr:uid="{21D447E7-9C4E-4F32-B1E6-325E9E18158B}">
      <text>
        <r>
          <rPr>
            <b/>
            <sz val="9"/>
            <color indexed="81"/>
            <rFont val="Tahoma"/>
            <family val="2"/>
            <charset val="186"/>
          </rPr>
          <t>Tõnis Hunt:</t>
        </r>
        <r>
          <rPr>
            <sz val="9"/>
            <color indexed="81"/>
            <rFont val="Tahoma"/>
            <family val="2"/>
            <charset val="186"/>
          </rPr>
          <t xml:space="preserve">
Vuosaarisse 9nm 1001-300 NT Basic fee 768€ Mileage fee 9nm*42€/nm
1146€</t>
        </r>
      </text>
    </comment>
    <comment ref="F19" authorId="0" shapeId="0" xr:uid="{5686B5DA-0D30-47C6-AE8C-6E5B38256B56}">
      <text>
        <r>
          <rPr>
            <b/>
            <sz val="9"/>
            <color indexed="81"/>
            <rFont val="Tahoma"/>
            <family val="2"/>
            <charset val="186"/>
          </rPr>
          <t>Tõnis Hunt:</t>
        </r>
        <r>
          <rPr>
            <sz val="9"/>
            <color indexed="81"/>
            <rFont val="Tahoma"/>
            <family val="2"/>
            <charset val="186"/>
          </rPr>
          <t xml:space="preserve">
Kotka sadam Veitkari pba 18 nm Basic fee 768€ mileage fee 18nm*41€/nm
1524€ üks operatsioon
Orrengrund pba 23 nm
1734€ üks operatsioon ehk üks külastus läheks 2*210=420€ kallimaks</t>
        </r>
      </text>
    </comment>
    <comment ref="G19" authorId="0" shapeId="0" xr:uid="{62398F2B-88FF-48C4-9117-FDB76E7D5E11}">
      <text>
        <r>
          <rPr>
            <b/>
            <sz val="9"/>
            <color indexed="81"/>
            <rFont val="Tahoma"/>
            <family val="2"/>
            <charset val="186"/>
          </rPr>
          <t>Tõnis Hunt:</t>
        </r>
        <r>
          <rPr>
            <sz val="9"/>
            <color indexed="81"/>
            <rFont val="Tahoma"/>
            <family val="2"/>
            <charset val="186"/>
          </rPr>
          <t xml:space="preserve">
Lootsitasu on sadamatasude sees
</t>
        </r>
      </text>
    </comment>
    <comment ref="B20" authorId="0" shapeId="0" xr:uid="{FE906651-42F4-41A0-A5CC-A7CC473E3934}">
      <text>
        <r>
          <rPr>
            <b/>
            <sz val="9"/>
            <color indexed="81"/>
            <rFont val="Tahoma"/>
            <charset val="1"/>
          </rPr>
          <t>Tõnis Hunt:</t>
        </r>
        <r>
          <rPr>
            <sz val="9"/>
            <color indexed="81"/>
            <rFont val="Tahoma"/>
            <charset val="1"/>
          </rPr>
          <t xml:space="preserve">
Alternative term: fairway due,
waterway fee/due, navigation fee/due
</t>
        </r>
      </text>
    </comment>
    <comment ref="C20" authorId="0" shapeId="0" xr:uid="{E2860309-1292-409C-A40C-41C6FC349C1D}">
      <text>
        <r>
          <rPr>
            <b/>
            <sz val="9"/>
            <color indexed="81"/>
            <rFont val="Tahoma"/>
            <family val="2"/>
            <charset val="186"/>
          </rPr>
          <t>Tõnis Hunt:</t>
        </r>
        <r>
          <rPr>
            <sz val="9"/>
            <color indexed="81"/>
            <rFont val="Tahoma"/>
            <family val="2"/>
            <charset val="186"/>
          </rPr>
          <t xml:space="preserve">
Jääklass 1C 0,35€/GT
Kas 1 kord saabumise kohta või iga ööpäeva eest?
saaks soodustust alates 10ndast korrast
https://www.transpordiamet.ee/veeteetasud</t>
        </r>
      </text>
    </comment>
    <comment ref="D20" authorId="0" shapeId="0" xr:uid="{0FAD9EFB-B077-4A6E-BB67-2C7A6A235C4C}">
      <text>
        <r>
          <rPr>
            <b/>
            <sz val="9"/>
            <color indexed="81"/>
            <rFont val="Tahoma"/>
            <family val="2"/>
            <charset val="186"/>
          </rPr>
          <t>Tõnis Hunt:</t>
        </r>
        <r>
          <rPr>
            <sz val="9"/>
            <color indexed="81"/>
            <rFont val="Tahoma"/>
            <family val="2"/>
            <charset val="186"/>
          </rPr>
          <t xml:space="preserve">
Jääklass 1C 0,35€/GT
Kas 1 kord saabumise kohta või iga ööpäeva eest?
saaks soodustust alates 10ndast korrast
https://www.transpordiamet.ee/veeteetasud</t>
        </r>
      </text>
    </comment>
    <comment ref="E20" authorId="0" shapeId="0" xr:uid="{F442243C-B596-4D3A-908D-03223B62E050}">
      <text>
        <r>
          <rPr>
            <b/>
            <sz val="9"/>
            <color indexed="81"/>
            <rFont val="Tahoma"/>
            <family val="2"/>
            <charset val="186"/>
          </rPr>
          <t>Tõnis Hunt:</t>
        </r>
        <r>
          <rPr>
            <sz val="9"/>
            <color indexed="81"/>
            <rFont val="Tahoma"/>
            <family val="2"/>
            <charset val="186"/>
          </rPr>
          <t xml:space="preserve">
Jääklass IC 2,578*NT Võib väheneda sõltuvalt kui palju laev tegelikult kaupa veab soodustus 50% või 75%
Kui laeval on ainult transiit kaup, ka siis väheneb.
Kehtib ülempiir
https://tulli.fi/en/businesses/transport-and-warehousing/fairway-dues</t>
        </r>
      </text>
    </comment>
  </commentList>
</comments>
</file>

<file path=xl/sharedStrings.xml><?xml version="1.0" encoding="utf-8"?>
<sst xmlns="http://schemas.openxmlformats.org/spreadsheetml/2006/main" count="238" uniqueCount="72">
  <si>
    <t>Tallinn</t>
  </si>
  <si>
    <t>GT</t>
  </si>
  <si>
    <t>NT</t>
  </si>
  <si>
    <t>Muuga</t>
  </si>
  <si>
    <t>1C</t>
  </si>
  <si>
    <t>Sillamäe</t>
  </si>
  <si>
    <t>1A</t>
  </si>
  <si>
    <t>Eesti</t>
  </si>
  <si>
    <t>Tanker</t>
  </si>
  <si>
    <t>1A Super</t>
  </si>
  <si>
    <t>RGT</t>
  </si>
  <si>
    <t>Ro-ro</t>
  </si>
  <si>
    <t>Helsinki</t>
  </si>
  <si>
    <t>HaminaKotka</t>
  </si>
  <si>
    <t>Soome</t>
  </si>
  <si>
    <t>Talvel sadama-tasudele +10%</t>
  </si>
  <si>
    <t>Riia</t>
  </si>
  <si>
    <t>Ventspils</t>
  </si>
  <si>
    <t>1 EUR=</t>
  </si>
  <si>
    <t>SEK</t>
  </si>
  <si>
    <t>Stockholm</t>
  </si>
  <si>
    <t>pikkus</t>
  </si>
  <si>
    <t>Riia Alternatiiv)</t>
  </si>
  <si>
    <t>Kappelskär</t>
  </si>
  <si>
    <t>Haminakotka</t>
  </si>
  <si>
    <t>Helsingi</t>
  </si>
  <si>
    <t>B</t>
  </si>
  <si>
    <t>D/E</t>
  </si>
  <si>
    <t>C</t>
  </si>
  <si>
    <t>A</t>
  </si>
  <si>
    <t>1B. 1C</t>
  </si>
  <si>
    <t>II, III</t>
  </si>
  <si>
    <t>Kaubalevad</t>
  </si>
  <si>
    <t>HaminaKotka (transiit)</t>
  </si>
  <si>
    <t>vs 1A Super</t>
  </si>
  <si>
    <t>vs 1A</t>
  </si>
  <si>
    <t>Riga</t>
  </si>
  <si>
    <t>Bulker</t>
  </si>
  <si>
    <t>Cruise vessel</t>
  </si>
  <si>
    <t>Vessel fee (tonnage fee, vessel charge)</t>
  </si>
  <si>
    <t>Canal fee</t>
  </si>
  <si>
    <t>Berthing fee</t>
  </si>
  <si>
    <t>Mooring and unmooring charges</t>
  </si>
  <si>
    <t>Waste Management charges</t>
  </si>
  <si>
    <t>Passenger fee</t>
  </si>
  <si>
    <t>Cargo charge, vehicle cargo charge</t>
  </si>
  <si>
    <t>Piotage charge</t>
  </si>
  <si>
    <t>Fairway fee</t>
  </si>
  <si>
    <t>Length</t>
  </si>
  <si>
    <t>Ice-class</t>
  </si>
  <si>
    <t>Ro-Pax</t>
  </si>
  <si>
    <t>Nr of voyages</t>
  </si>
  <si>
    <t>Total</t>
  </si>
  <si>
    <t>per 1 voyage</t>
  </si>
  <si>
    <t>Fairway fee per 1 voyage</t>
  </si>
  <si>
    <t>Vessel data</t>
  </si>
  <si>
    <t>2500 passengers</t>
  </si>
  <si>
    <t>Stockholm (Kappelskär)</t>
  </si>
  <si>
    <t>Sanitary fee</t>
  </si>
  <si>
    <t>Waste fee</t>
  </si>
  <si>
    <t>Solid waste</t>
  </si>
  <si>
    <t>Oil containing waste</t>
  </si>
  <si>
    <t>Sewage</t>
  </si>
  <si>
    <t>150 units, out of wich 12 with drivers</t>
  </si>
  <si>
    <t>Container vessel</t>
  </si>
  <si>
    <t>Cargo charge</t>
  </si>
  <si>
    <t>Cargo onboard</t>
  </si>
  <si>
    <t>When transit</t>
  </si>
  <si>
    <t>General Cargo Vessel</t>
  </si>
  <si>
    <t>Environmental Category</t>
  </si>
  <si>
    <t>Year</t>
  </si>
  <si>
    <t>Variation in the amount of the Swedish fairway fees’ vessel-based and readiness components in 2022 and 2024 due to the environmental category, in EUR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</si>
</sst>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charset val="186"/>
      <scheme val="minor"/>
    </font>
    <font>
      <sz val="11"/>
      <color theme="1"/>
      <name val="Calibri"/>
      <family val="2"/>
      <charset val="186"/>
      <scheme val="minor"/>
    </font>
    <font>
      <b/>
      <sz val="11"/>
      <color theme="1"/>
      <name val="Calibri"/>
      <family val="2"/>
      <charset val="186"/>
      <scheme val="minor"/>
    </font>
    <font>
      <sz val="9"/>
      <color indexed="81"/>
      <name val="Tahoma"/>
      <family val="2"/>
      <charset val="186"/>
    </font>
    <font>
      <b/>
      <sz val="9"/>
      <color indexed="81"/>
      <name val="Tahoma"/>
      <family val="2"/>
      <charset val="186"/>
    </font>
    <font>
      <b/>
      <sz val="11"/>
      <color rgb="FFFF0000"/>
      <name val="Calibri"/>
      <family val="2"/>
      <charset val="186"/>
      <scheme val="minor"/>
    </font>
    <font>
      <sz val="11"/>
      <name val="Calibri"/>
      <family val="2"/>
      <charset val="186"/>
      <scheme val="minor"/>
    </font>
    <font>
      <sz val="11"/>
      <color rgb="FF9C0006"/>
      <name val="Calibri"/>
      <family val="2"/>
      <charset val="186"/>
      <scheme val="minor"/>
    </font>
    <font>
      <sz val="11"/>
      <color rgb="FFFF0000"/>
      <name val="Calibri"/>
      <family val="2"/>
      <charset val="186"/>
      <scheme val="minor"/>
    </font>
    <font>
      <sz val="9"/>
      <color indexed="81"/>
      <name val="Tahoma"/>
      <charset val="1"/>
    </font>
    <font>
      <b/>
      <sz val="9"/>
      <color indexed="81"/>
      <name val="Tahoma"/>
      <charset val="1"/>
    </font>
    <font>
      <b/>
      <sz val="11"/>
      <name val="Calibri"/>
      <family val="2"/>
      <charset val="186"/>
      <scheme val="minor"/>
    </font>
  </fonts>
  <fills count="8">
    <fill>
      <patternFill patternType="none"/>
    </fill>
    <fill>
      <patternFill patternType="gray125"/>
    </fill>
    <fill>
      <patternFill patternType="solid">
        <fgColor theme="5" tint="0.79998168889431442"/>
        <bgColor indexed="65"/>
      </patternFill>
    </fill>
    <fill>
      <patternFill patternType="solid">
        <fgColor rgb="FFFFC7CE"/>
      </patternFill>
    </fill>
    <fill>
      <patternFill patternType="solid">
        <fgColor theme="9" tint="0.79998168889431442"/>
        <bgColor indexed="64"/>
      </patternFill>
    </fill>
    <fill>
      <patternFill patternType="solid">
        <fgColor rgb="FFFFFF00"/>
        <bgColor indexed="64"/>
      </patternFill>
    </fill>
    <fill>
      <patternFill patternType="solid">
        <fgColor theme="7" tint="0.79998168889431442"/>
        <bgColor indexed="64"/>
      </patternFill>
    </fill>
    <fill>
      <patternFill patternType="solid">
        <fgColor theme="7" tint="0.79998168889431442"/>
        <bgColor indexed="65"/>
      </patternFill>
    </fill>
  </fills>
  <borders count="2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style="thick">
        <color auto="1"/>
      </top>
      <bottom/>
      <diagonal/>
    </border>
    <border>
      <left/>
      <right style="thin">
        <color indexed="64"/>
      </right>
      <top/>
      <bottom style="thick">
        <color auto="1"/>
      </bottom>
      <diagonal/>
    </border>
    <border>
      <left style="thin">
        <color indexed="64"/>
      </left>
      <right/>
      <top style="thick">
        <color auto="1"/>
      </top>
      <bottom/>
      <diagonal/>
    </border>
    <border>
      <left style="thin">
        <color indexed="64"/>
      </left>
      <right/>
      <top/>
      <bottom style="thick">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1" fillId="2" borderId="0" applyNumberFormat="0" applyBorder="0" applyAlignment="0" applyProtection="0"/>
    <xf numFmtId="0" fontId="7" fillId="3" borderId="0" applyNumberFormat="0" applyBorder="0" applyAlignment="0" applyProtection="0"/>
    <xf numFmtId="0" fontId="1" fillId="7" borderId="0" applyNumberFormat="0" applyBorder="0" applyAlignment="0" applyProtection="0"/>
  </cellStyleXfs>
  <cellXfs count="185">
    <xf numFmtId="0" fontId="0" fillId="0" borderId="0" xfId="0"/>
    <xf numFmtId="0" fontId="0" fillId="0" borderId="1" xfId="0" applyBorder="1"/>
    <xf numFmtId="0" fontId="0" fillId="0" borderId="0" xfId="0" applyAlignment="1">
      <alignment horizontal="center"/>
    </xf>
    <xf numFmtId="0" fontId="0" fillId="0" borderId="1" xfId="0" applyBorder="1" applyAlignment="1">
      <alignment horizontal="center"/>
    </xf>
    <xf numFmtId="0" fontId="0" fillId="0" borderId="2" xfId="0" applyBorder="1"/>
    <xf numFmtId="0" fontId="0" fillId="0" borderId="5" xfId="0" applyBorder="1"/>
    <xf numFmtId="0" fontId="0" fillId="0" borderId="6" xfId="0" applyBorder="1"/>
    <xf numFmtId="0" fontId="0" fillId="0" borderId="7" xfId="0" applyBorder="1"/>
    <xf numFmtId="0" fontId="2" fillId="0" borderId="0" xfId="0" applyFont="1"/>
    <xf numFmtId="0" fontId="2" fillId="0" borderId="5" xfId="0" applyFont="1" applyBorder="1" applyAlignment="1">
      <alignment horizontal="center"/>
    </xf>
    <xf numFmtId="0" fontId="2" fillId="0" borderId="6" xfId="0" applyFont="1" applyBorder="1" applyAlignment="1">
      <alignment horizontal="center"/>
    </xf>
    <xf numFmtId="0" fontId="5" fillId="0" borderId="0" xfId="0" applyFont="1" applyAlignment="1">
      <alignment horizontal="center"/>
    </xf>
    <xf numFmtId="0" fontId="6" fillId="0" borderId="0" xfId="0" applyFont="1" applyAlignment="1">
      <alignment horizontal="center"/>
    </xf>
    <xf numFmtId="0" fontId="0" fillId="0" borderId="0" xfId="0" applyAlignment="1">
      <alignment wrapText="1"/>
    </xf>
    <xf numFmtId="1" fontId="0" fillId="0" borderId="0" xfId="0" applyNumberFormat="1" applyAlignment="1">
      <alignment horizontal="center"/>
    </xf>
    <xf numFmtId="3" fontId="0" fillId="0" borderId="0" xfId="0" applyNumberFormat="1"/>
    <xf numFmtId="3" fontId="0" fillId="0" borderId="5" xfId="0" applyNumberFormat="1" applyBorder="1"/>
    <xf numFmtId="3" fontId="0" fillId="4" borderId="5" xfId="0" applyNumberFormat="1" applyFill="1" applyBorder="1"/>
    <xf numFmtId="3" fontId="0" fillId="0" borderId="12" xfId="0" applyNumberFormat="1" applyBorder="1"/>
    <xf numFmtId="3" fontId="0" fillId="0" borderId="13" xfId="0" applyNumberFormat="1" applyBorder="1"/>
    <xf numFmtId="3" fontId="0" fillId="0" borderId="0" xfId="0" applyNumberFormat="1" applyAlignment="1">
      <alignment horizontal="center"/>
    </xf>
    <xf numFmtId="0" fontId="0" fillId="0" borderId="0" xfId="0" applyAlignment="1">
      <alignment horizontal="right"/>
    </xf>
    <xf numFmtId="0" fontId="0" fillId="0" borderId="3" xfId="0" applyBorder="1"/>
    <xf numFmtId="0" fontId="0" fillId="0" borderId="4" xfId="0" applyBorder="1"/>
    <xf numFmtId="3" fontId="0" fillId="0" borderId="6" xfId="0" applyNumberFormat="1" applyBorder="1" applyAlignment="1">
      <alignment horizontal="center"/>
    </xf>
    <xf numFmtId="3" fontId="0" fillId="0" borderId="5" xfId="0" applyNumberFormat="1" applyBorder="1" applyAlignment="1">
      <alignment horizontal="center"/>
    </xf>
    <xf numFmtId="3" fontId="0" fillId="0" borderId="6" xfId="0" applyNumberFormat="1" applyBorder="1"/>
    <xf numFmtId="3" fontId="0" fillId="4" borderId="6" xfId="0" applyNumberFormat="1" applyFill="1" applyBorder="1"/>
    <xf numFmtId="3" fontId="0" fillId="4" borderId="10" xfId="0" applyNumberFormat="1" applyFill="1" applyBorder="1"/>
    <xf numFmtId="3" fontId="0" fillId="0" borderId="10" xfId="0" applyNumberFormat="1" applyBorder="1"/>
    <xf numFmtId="3" fontId="0" fillId="0" borderId="11" xfId="0" applyNumberFormat="1" applyBorder="1"/>
    <xf numFmtId="3" fontId="0" fillId="0" borderId="2" xfId="0" applyNumberFormat="1" applyBorder="1" applyAlignment="1">
      <alignment horizontal="center" vertical="center"/>
    </xf>
    <xf numFmtId="3" fontId="0" fillId="0" borderId="3" xfId="0" applyNumberFormat="1" applyBorder="1" applyAlignment="1">
      <alignment horizontal="center" vertical="center"/>
    </xf>
    <xf numFmtId="3" fontId="0" fillId="0" borderId="4" xfId="0" applyNumberFormat="1" applyBorder="1" applyAlignment="1">
      <alignment horizontal="center" vertical="center"/>
    </xf>
    <xf numFmtId="3" fontId="1" fillId="2" borderId="5" xfId="1" applyNumberFormat="1" applyBorder="1" applyAlignment="1">
      <alignment horizontal="center" vertical="center"/>
    </xf>
    <xf numFmtId="3" fontId="1" fillId="2" borderId="0" xfId="1" applyNumberFormat="1" applyBorder="1" applyAlignment="1">
      <alignment horizontal="center" vertical="center"/>
    </xf>
    <xf numFmtId="3" fontId="1" fillId="2" borderId="6" xfId="1" applyNumberFormat="1" applyBorder="1" applyAlignment="1">
      <alignment horizontal="center" vertical="center"/>
    </xf>
    <xf numFmtId="3" fontId="1" fillId="2" borderId="7" xfId="1" applyNumberFormat="1" applyBorder="1" applyAlignment="1">
      <alignment horizontal="center" vertical="center"/>
    </xf>
    <xf numFmtId="3" fontId="1" fillId="2" borderId="1" xfId="1" applyNumberFormat="1" applyBorder="1" applyAlignment="1">
      <alignment horizontal="center" vertical="center"/>
    </xf>
    <xf numFmtId="3" fontId="1" fillId="2" borderId="8" xfId="1" applyNumberFormat="1" applyBorder="1" applyAlignment="1">
      <alignment horizontal="center" vertical="center"/>
    </xf>
    <xf numFmtId="3" fontId="0" fillId="0" borderId="5" xfId="0" applyNumberFormat="1" applyBorder="1" applyAlignment="1">
      <alignment horizontal="center" vertical="center"/>
    </xf>
    <xf numFmtId="3" fontId="0" fillId="0" borderId="6" xfId="0" applyNumberFormat="1" applyBorder="1" applyAlignment="1">
      <alignment horizontal="center" vertical="center"/>
    </xf>
    <xf numFmtId="0" fontId="2" fillId="0" borderId="3" xfId="0" applyFont="1" applyBorder="1"/>
    <xf numFmtId="3" fontId="0" fillId="0" borderId="4" xfId="0" applyNumberFormat="1" applyBorder="1"/>
    <xf numFmtId="3" fontId="0" fillId="0" borderId="2" xfId="0" applyNumberFormat="1" applyBorder="1"/>
    <xf numFmtId="3" fontId="0" fillId="0" borderId="3" xfId="0" applyNumberFormat="1" applyBorder="1"/>
    <xf numFmtId="3" fontId="0" fillId="0" borderId="7" xfId="0" applyNumberFormat="1" applyBorder="1" applyAlignment="1">
      <alignment horizontal="center" vertical="center"/>
    </xf>
    <xf numFmtId="3" fontId="0" fillId="0" borderId="1" xfId="0" applyNumberFormat="1" applyBorder="1" applyAlignment="1">
      <alignment horizontal="center" vertical="center"/>
    </xf>
    <xf numFmtId="3" fontId="0" fillId="0" borderId="8" xfId="0" applyNumberFormat="1" applyBorder="1" applyAlignment="1">
      <alignment horizontal="center" vertical="center"/>
    </xf>
    <xf numFmtId="3" fontId="0" fillId="0" borderId="8" xfId="0" applyNumberFormat="1" applyBorder="1"/>
    <xf numFmtId="3" fontId="0" fillId="0" borderId="7" xfId="0" applyNumberFormat="1" applyBorder="1"/>
    <xf numFmtId="3" fontId="0" fillId="0" borderId="1" xfId="0" applyNumberFormat="1" applyBorder="1"/>
    <xf numFmtId="3" fontId="1" fillId="2" borderId="9" xfId="1" applyNumberFormat="1" applyBorder="1" applyAlignment="1">
      <alignment horizontal="center" vertical="center"/>
    </xf>
    <xf numFmtId="0" fontId="2" fillId="0" borderId="2" xfId="0" applyFont="1" applyBorder="1"/>
    <xf numFmtId="2" fontId="0" fillId="0" borderId="0" xfId="0" applyNumberFormat="1"/>
    <xf numFmtId="4" fontId="0" fillId="0" borderId="0" xfId="0" applyNumberFormat="1"/>
    <xf numFmtId="0" fontId="0" fillId="0" borderId="0" xfId="0"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0" fillId="0" borderId="0" xfId="0" applyFill="1"/>
    <xf numFmtId="0" fontId="0" fillId="0" borderId="0" xfId="1" applyFont="1" applyFill="1" applyBorder="1" applyAlignment="1">
      <alignment horizontal="right"/>
    </xf>
    <xf numFmtId="0" fontId="0" fillId="0" borderId="0" xfId="0" applyFill="1" applyBorder="1"/>
    <xf numFmtId="0" fontId="2" fillId="0" borderId="0" xfId="0" applyFont="1" applyFill="1" applyBorder="1"/>
    <xf numFmtId="0" fontId="2" fillId="0" borderId="0" xfId="0" applyFont="1" applyFill="1" applyBorder="1" applyAlignment="1">
      <alignment horizontal="center"/>
    </xf>
    <xf numFmtId="164" fontId="0" fillId="0" borderId="0" xfId="0" applyNumberFormat="1" applyFill="1" applyBorder="1"/>
    <xf numFmtId="164" fontId="0" fillId="0" borderId="0" xfId="0" applyNumberFormat="1" applyFill="1" applyBorder="1" applyAlignment="1">
      <alignment horizontal="center"/>
    </xf>
    <xf numFmtId="3" fontId="0" fillId="0" borderId="0" xfId="0" applyNumberFormat="1" applyFill="1" applyBorder="1"/>
    <xf numFmtId="3" fontId="1" fillId="0" borderId="0" xfId="1" applyNumberFormat="1" applyFill="1" applyBorder="1" applyAlignment="1">
      <alignment horizontal="center" vertical="center"/>
    </xf>
    <xf numFmtId="3" fontId="1" fillId="0" borderId="1" xfId="1" applyNumberFormat="1" applyFill="1" applyBorder="1" applyAlignment="1">
      <alignment horizontal="center" vertical="center"/>
    </xf>
    <xf numFmtId="3" fontId="1" fillId="0" borderId="7" xfId="1" applyNumberFormat="1" applyFill="1" applyBorder="1" applyAlignment="1">
      <alignment horizontal="center" vertical="center"/>
    </xf>
    <xf numFmtId="3" fontId="1" fillId="0" borderId="8" xfId="1" applyNumberFormat="1" applyFill="1" applyBorder="1" applyAlignment="1">
      <alignment horizontal="center" vertical="center"/>
    </xf>
    <xf numFmtId="0" fontId="0" fillId="0" borderId="0" xfId="0" applyFill="1" applyBorder="1" applyAlignment="1">
      <alignment horizontal="center"/>
    </xf>
    <xf numFmtId="1" fontId="0" fillId="0" borderId="0" xfId="0" applyNumberFormat="1" applyFill="1" applyBorder="1" applyAlignment="1">
      <alignment horizontal="center"/>
    </xf>
    <xf numFmtId="0" fontId="1" fillId="0" borderId="0" xfId="1" applyFill="1" applyBorder="1" applyAlignment="1">
      <alignment horizontal="right"/>
    </xf>
    <xf numFmtId="3" fontId="0" fillId="0" borderId="0" xfId="0" applyNumberFormat="1" applyFill="1" applyBorder="1" applyAlignment="1">
      <alignment horizontal="center" vertical="center"/>
    </xf>
    <xf numFmtId="0" fontId="2" fillId="0" borderId="2" xfId="0" applyFont="1" applyFill="1" applyBorder="1" applyAlignment="1">
      <alignment horizontal="center"/>
    </xf>
    <xf numFmtId="0" fontId="2" fillId="0" borderId="3" xfId="0" applyFont="1" applyFill="1" applyBorder="1" applyAlignment="1">
      <alignment horizontal="center"/>
    </xf>
    <xf numFmtId="0" fontId="2" fillId="0" borderId="4" xfId="0" applyFont="1" applyFill="1" applyBorder="1" applyAlignment="1">
      <alignment horizontal="center"/>
    </xf>
    <xf numFmtId="0" fontId="2" fillId="0" borderId="0" xfId="0" applyFont="1" applyFill="1" applyBorder="1" applyAlignment="1">
      <alignment horizontal="center"/>
    </xf>
    <xf numFmtId="0" fontId="0" fillId="0" borderId="0" xfId="0" applyFill="1" applyBorder="1" applyAlignment="1">
      <alignment horizontal="center"/>
    </xf>
    <xf numFmtId="3" fontId="0" fillId="0" borderId="3" xfId="0" applyNumberFormat="1" applyBorder="1" applyAlignment="1">
      <alignment horizontal="center"/>
    </xf>
    <xf numFmtId="3" fontId="0" fillId="0" borderId="4" xfId="0" applyNumberFormat="1" applyBorder="1" applyAlignment="1">
      <alignment horizontal="center"/>
    </xf>
    <xf numFmtId="0" fontId="2" fillId="0" borderId="0" xfId="0" applyFont="1" applyBorder="1" applyAlignment="1">
      <alignment horizontal="center"/>
    </xf>
    <xf numFmtId="3" fontId="0" fillId="0" borderId="0" xfId="0" applyNumberFormat="1" applyBorder="1" applyAlignment="1">
      <alignment horizontal="center" vertical="center"/>
    </xf>
    <xf numFmtId="0" fontId="0" fillId="0" borderId="19" xfId="0" applyBorder="1"/>
    <xf numFmtId="0" fontId="1" fillId="2" borderId="9" xfId="1" applyBorder="1" applyAlignment="1">
      <alignment horizontal="right"/>
    </xf>
    <xf numFmtId="0" fontId="0" fillId="0" borderId="14" xfId="0" applyBorder="1"/>
    <xf numFmtId="3" fontId="0" fillId="0" borderId="2" xfId="0" applyNumberFormat="1" applyBorder="1" applyAlignment="1">
      <alignment horizontal="center"/>
    </xf>
    <xf numFmtId="0" fontId="0" fillId="0" borderId="0" xfId="0" applyBorder="1"/>
    <xf numFmtId="0" fontId="0" fillId="0" borderId="0" xfId="0" applyBorder="1" applyAlignment="1">
      <alignment horizontal="center"/>
    </xf>
    <xf numFmtId="1" fontId="0" fillId="0" borderId="0" xfId="0" applyNumberFormat="1" applyBorder="1" applyAlignment="1">
      <alignment horizontal="center" vertical="center"/>
    </xf>
    <xf numFmtId="0" fontId="2" fillId="0" borderId="19" xfId="0" applyFont="1" applyBorder="1"/>
    <xf numFmtId="0" fontId="2" fillId="2" borderId="9" xfId="1" applyFont="1" applyBorder="1" applyAlignment="1">
      <alignment horizontal="right"/>
    </xf>
    <xf numFmtId="0" fontId="2" fillId="5" borderId="6" xfId="0" applyFont="1" applyFill="1" applyBorder="1"/>
    <xf numFmtId="0" fontId="2" fillId="5" borderId="0" xfId="0" applyFont="1" applyFill="1"/>
    <xf numFmtId="0" fontId="0" fillId="0" borderId="0" xfId="0" applyBorder="1" applyAlignment="1">
      <alignment horizontal="center"/>
    </xf>
    <xf numFmtId="3" fontId="0" fillId="0" borderId="0" xfId="0" applyNumberFormat="1" applyBorder="1" applyAlignment="1">
      <alignment horizontal="center"/>
    </xf>
    <xf numFmtId="0" fontId="0" fillId="0" borderId="18" xfId="0" applyBorder="1" applyAlignment="1">
      <alignment horizontal="center" vertical="center"/>
    </xf>
    <xf numFmtId="0" fontId="0" fillId="0" borderId="16" xfId="0" applyBorder="1" applyAlignment="1">
      <alignment horizontal="center" vertical="center"/>
    </xf>
    <xf numFmtId="3" fontId="0" fillId="0" borderId="7" xfId="0" applyNumberFormat="1" applyBorder="1" applyAlignment="1">
      <alignment horizontal="center"/>
    </xf>
    <xf numFmtId="3" fontId="0" fillId="0" borderId="8" xfId="0" applyNumberFormat="1" applyBorder="1" applyAlignment="1">
      <alignment horizontal="center"/>
    </xf>
    <xf numFmtId="0" fontId="0" fillId="0" borderId="17" xfId="0" applyBorder="1" applyAlignment="1">
      <alignment horizontal="center" vertical="center"/>
    </xf>
    <xf numFmtId="3" fontId="0" fillId="0" borderId="0" xfId="0" applyNumberFormat="1" applyBorder="1"/>
    <xf numFmtId="3" fontId="0" fillId="0" borderId="1" xfId="0" applyNumberFormat="1" applyBorder="1" applyAlignment="1">
      <alignment horizontal="center"/>
    </xf>
    <xf numFmtId="0" fontId="0" fillId="0" borderId="0" xfId="0" applyBorder="1" applyAlignment="1"/>
    <xf numFmtId="3" fontId="8" fillId="6" borderId="0" xfId="0" applyNumberFormat="1" applyFont="1" applyFill="1" applyBorder="1" applyAlignment="1">
      <alignment horizontal="center" vertical="center"/>
    </xf>
    <xf numFmtId="3" fontId="2" fillId="0" borderId="0" xfId="0" applyNumberFormat="1" applyFont="1" applyFill="1" applyBorder="1" applyAlignment="1">
      <alignment horizontal="center"/>
    </xf>
    <xf numFmtId="3" fontId="8" fillId="0" borderId="0" xfId="0" applyNumberFormat="1" applyFont="1" applyFill="1" applyBorder="1"/>
    <xf numFmtId="3" fontId="8" fillId="6" borderId="5" xfId="0" applyNumberFormat="1" applyFont="1" applyFill="1" applyBorder="1" applyAlignment="1">
      <alignment horizontal="center" vertical="center"/>
    </xf>
    <xf numFmtId="3" fontId="8" fillId="6" borderId="6" xfId="0" applyNumberFormat="1" applyFont="1" applyFill="1" applyBorder="1" applyAlignment="1">
      <alignment horizontal="center" vertical="center"/>
    </xf>
    <xf numFmtId="3" fontId="0" fillId="0" borderId="5" xfId="0" applyNumberFormat="1" applyFill="1" applyBorder="1"/>
    <xf numFmtId="3" fontId="0" fillId="0" borderId="6" xfId="0" applyNumberFormat="1" applyFill="1" applyBorder="1"/>
    <xf numFmtId="0" fontId="11" fillId="5" borderId="0" xfId="0" applyFont="1" applyFill="1"/>
    <xf numFmtId="0" fontId="0" fillId="0" borderId="18" xfId="0" applyBorder="1" applyAlignment="1">
      <alignment horizontal="center"/>
    </xf>
    <xf numFmtId="0" fontId="0" fillId="0" borderId="17" xfId="0" applyBorder="1" applyAlignment="1">
      <alignment horizontal="center"/>
    </xf>
    <xf numFmtId="0" fontId="0" fillId="0" borderId="16" xfId="0" applyBorder="1" applyAlignment="1">
      <alignment horizontal="center"/>
    </xf>
    <xf numFmtId="0" fontId="11" fillId="0" borderId="0" xfId="0" applyFont="1" applyAlignment="1">
      <alignment horizontal="center"/>
    </xf>
    <xf numFmtId="0" fontId="6" fillId="0" borderId="0" xfId="0" applyFont="1"/>
    <xf numFmtId="0" fontId="5" fillId="0" borderId="0" xfId="0" applyFont="1" applyFill="1"/>
    <xf numFmtId="3" fontId="0" fillId="0" borderId="5" xfId="0" applyNumberFormat="1" applyFill="1" applyBorder="1" applyAlignment="1">
      <alignment horizontal="center"/>
    </xf>
    <xf numFmtId="3" fontId="0" fillId="0" borderId="0" xfId="0" applyNumberFormat="1" applyFill="1" applyBorder="1" applyAlignment="1">
      <alignment horizontal="center"/>
    </xf>
    <xf numFmtId="3" fontId="0" fillId="0" borderId="6" xfId="0" applyNumberFormat="1" applyFill="1" applyBorder="1" applyAlignment="1">
      <alignment horizontal="center"/>
    </xf>
    <xf numFmtId="0" fontId="0" fillId="0" borderId="9" xfId="0" applyFill="1" applyBorder="1" applyAlignment="1">
      <alignment horizontal="center"/>
    </xf>
    <xf numFmtId="0" fontId="0" fillId="0" borderId="14" xfId="0" applyBorder="1" applyAlignment="1">
      <alignment horizontal="center"/>
    </xf>
    <xf numFmtId="0" fontId="2" fillId="0" borderId="15" xfId="0" applyFont="1" applyFill="1" applyBorder="1" applyAlignment="1">
      <alignment horizontal="center"/>
    </xf>
    <xf numFmtId="0" fontId="2" fillId="0" borderId="18" xfId="0" applyFont="1" applyFill="1" applyBorder="1" applyAlignment="1">
      <alignment horizontal="center"/>
    </xf>
    <xf numFmtId="0" fontId="2" fillId="0" borderId="17" xfId="0" applyFont="1" applyFill="1" applyBorder="1" applyAlignment="1">
      <alignment horizontal="center"/>
    </xf>
    <xf numFmtId="0" fontId="2" fillId="0" borderId="16" xfId="0" applyFont="1" applyFill="1" applyBorder="1" applyAlignment="1">
      <alignment horizontal="center"/>
    </xf>
    <xf numFmtId="3" fontId="0" fillId="0" borderId="9" xfId="0" applyNumberFormat="1" applyBorder="1" applyAlignment="1">
      <alignment horizontal="center"/>
    </xf>
    <xf numFmtId="3" fontId="0" fillId="0" borderId="19" xfId="0" applyNumberFormat="1" applyBorder="1" applyAlignment="1">
      <alignment horizontal="center"/>
    </xf>
    <xf numFmtId="3" fontId="0" fillId="0" borderId="14" xfId="0" applyNumberFormat="1" applyBorder="1" applyAlignment="1">
      <alignment horizontal="center"/>
    </xf>
    <xf numFmtId="0" fontId="0" fillId="0" borderId="18" xfId="0" applyBorder="1"/>
    <xf numFmtId="0" fontId="0" fillId="0" borderId="16" xfId="0" applyBorder="1"/>
    <xf numFmtId="3" fontId="0" fillId="4" borderId="12" xfId="0" applyNumberFormat="1" applyFill="1" applyBorder="1"/>
    <xf numFmtId="3" fontId="0" fillId="4" borderId="11" xfId="0" applyNumberFormat="1" applyFill="1" applyBorder="1"/>
    <xf numFmtId="3" fontId="0" fillId="0" borderId="9" xfId="0" applyNumberFormat="1" applyBorder="1"/>
    <xf numFmtId="0" fontId="2" fillId="0" borderId="5" xfId="0" applyFont="1" applyBorder="1"/>
    <xf numFmtId="3" fontId="0" fillId="4" borderId="7" xfId="0" applyNumberFormat="1" applyFill="1" applyBorder="1"/>
    <xf numFmtId="3" fontId="0" fillId="4" borderId="8" xfId="0" applyNumberFormat="1" applyFill="1" applyBorder="1"/>
    <xf numFmtId="0" fontId="2" fillId="0" borderId="18" xfId="0" applyFont="1" applyBorder="1"/>
    <xf numFmtId="0" fontId="2" fillId="0" borderId="14" xfId="0" applyFont="1" applyBorder="1"/>
    <xf numFmtId="0" fontId="2" fillId="0" borderId="7" xfId="0" applyFont="1" applyBorder="1"/>
    <xf numFmtId="0" fontId="0" fillId="0" borderId="15" xfId="0" applyBorder="1" applyAlignment="1">
      <alignment horizontal="center"/>
    </xf>
    <xf numFmtId="0" fontId="2" fillId="2" borderId="7" xfId="1" applyFont="1" applyBorder="1"/>
    <xf numFmtId="0" fontId="2" fillId="0" borderId="15" xfId="0" applyFont="1" applyBorder="1"/>
    <xf numFmtId="0" fontId="0" fillId="0" borderId="9" xfId="0" applyBorder="1"/>
    <xf numFmtId="0" fontId="2" fillId="0" borderId="9" xfId="0" applyFont="1" applyBorder="1"/>
    <xf numFmtId="0" fontId="2" fillId="0" borderId="14" xfId="0" applyFont="1" applyBorder="1" applyAlignment="1">
      <alignment horizontal="right"/>
    </xf>
    <xf numFmtId="0" fontId="0" fillId="0" borderId="18"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3" fontId="2" fillId="6" borderId="2" xfId="0" applyNumberFormat="1" applyFont="1" applyFill="1" applyBorder="1" applyAlignment="1">
      <alignment horizontal="center"/>
    </xf>
    <xf numFmtId="3" fontId="2" fillId="6" borderId="4" xfId="0" applyNumberFormat="1" applyFont="1" applyFill="1" applyBorder="1" applyAlignment="1">
      <alignment horizontal="center"/>
    </xf>
    <xf numFmtId="3" fontId="2" fillId="6" borderId="3" xfId="0" applyNumberFormat="1" applyFont="1" applyFill="1" applyBorder="1" applyAlignment="1">
      <alignment horizontal="center"/>
    </xf>
    <xf numFmtId="0" fontId="2" fillId="0" borderId="19" xfId="0" applyFont="1" applyBorder="1" applyAlignment="1">
      <alignment horizontal="center"/>
    </xf>
    <xf numFmtId="0" fontId="8" fillId="7" borderId="9" xfId="3" applyFont="1" applyBorder="1" applyAlignment="1">
      <alignment horizontal="center"/>
    </xf>
    <xf numFmtId="3" fontId="8" fillId="6" borderId="5" xfId="0" applyNumberFormat="1" applyFont="1" applyFill="1" applyBorder="1" applyAlignment="1">
      <alignment horizontal="center"/>
    </xf>
    <xf numFmtId="3" fontId="8" fillId="6" borderId="6" xfId="0" applyNumberFormat="1" applyFont="1" applyFill="1" applyBorder="1" applyAlignment="1">
      <alignment horizontal="center"/>
    </xf>
    <xf numFmtId="0" fontId="2" fillId="0" borderId="14" xfId="0" applyFont="1" applyBorder="1" applyAlignment="1">
      <alignment horizontal="center"/>
    </xf>
    <xf numFmtId="0" fontId="2" fillId="0" borderId="18" xfId="0" applyFont="1" applyBorder="1" applyAlignment="1">
      <alignment horizontal="center"/>
    </xf>
    <xf numFmtId="0" fontId="2" fillId="0" borderId="16" xfId="0" applyFont="1" applyBorder="1" applyAlignment="1">
      <alignment horizontal="center"/>
    </xf>
    <xf numFmtId="0" fontId="2" fillId="0" borderId="17" xfId="0" applyFont="1" applyBorder="1" applyAlignment="1">
      <alignment horizontal="center"/>
    </xf>
    <xf numFmtId="3" fontId="0" fillId="0" borderId="17" xfId="0" applyNumberFormat="1" applyBorder="1" applyAlignment="1">
      <alignment horizontal="center"/>
    </xf>
    <xf numFmtId="3" fontId="0" fillId="0" borderId="16" xfId="0" applyNumberFormat="1" applyBorder="1" applyAlignment="1">
      <alignment horizontal="center"/>
    </xf>
    <xf numFmtId="3" fontId="0" fillId="0" borderId="18" xfId="0" applyNumberFormat="1" applyBorder="1" applyAlignment="1">
      <alignment horizontal="center"/>
    </xf>
    <xf numFmtId="0" fontId="2" fillId="0" borderId="18" xfId="0" applyFont="1" applyBorder="1" applyAlignment="1">
      <alignment horizontal="center"/>
    </xf>
    <xf numFmtId="0" fontId="2" fillId="0" borderId="17" xfId="0" applyFont="1" applyBorder="1" applyAlignment="1">
      <alignment horizontal="center"/>
    </xf>
    <xf numFmtId="0" fontId="2" fillId="0" borderId="16" xfId="0" applyFont="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0" xfId="0" applyBorder="1" applyAlignment="1">
      <alignment horizontal="center" vertical="center"/>
    </xf>
    <xf numFmtId="0" fontId="7" fillId="0" borderId="5" xfId="2" applyFill="1" applyBorder="1" applyAlignment="1">
      <alignment horizontal="center" vertical="center"/>
    </xf>
    <xf numFmtId="0" fontId="7" fillId="0" borderId="6" xfId="2" applyFill="1" applyBorder="1" applyAlignment="1">
      <alignment horizontal="center" vertical="center"/>
    </xf>
    <xf numFmtId="3" fontId="0" fillId="4" borderId="5" xfId="0" applyNumberFormat="1" applyFill="1" applyBorder="1" applyAlignment="1">
      <alignment horizontal="center" vertical="center"/>
    </xf>
    <xf numFmtId="3" fontId="0" fillId="4" borderId="6" xfId="0" applyNumberFormat="1" applyFill="1" applyBorder="1" applyAlignment="1">
      <alignment horizontal="center" vertical="center"/>
    </xf>
    <xf numFmtId="3" fontId="0" fillId="4" borderId="0" xfId="0" applyNumberFormat="1" applyFill="1" applyBorder="1" applyAlignment="1">
      <alignment horizontal="center" vertical="center"/>
    </xf>
    <xf numFmtId="3" fontId="0" fillId="4" borderId="2" xfId="0" applyNumberFormat="1" applyFill="1" applyBorder="1" applyAlignment="1">
      <alignment horizontal="center" vertical="center"/>
    </xf>
    <xf numFmtId="3" fontId="0" fillId="4" borderId="4" xfId="0" applyNumberFormat="1" applyFill="1" applyBorder="1" applyAlignment="1">
      <alignment horizontal="center" vertical="center"/>
    </xf>
    <xf numFmtId="3" fontId="6" fillId="0" borderId="5" xfId="0" applyNumberFormat="1" applyFont="1" applyBorder="1" applyAlignment="1">
      <alignment horizontal="center" vertical="center"/>
    </xf>
    <xf numFmtId="3" fontId="6" fillId="0" borderId="6" xfId="0" applyNumberFormat="1" applyFont="1" applyBorder="1" applyAlignment="1">
      <alignment horizontal="center" vertical="center"/>
    </xf>
    <xf numFmtId="0" fontId="2" fillId="0" borderId="16" xfId="0" applyFont="1" applyBorder="1"/>
    <xf numFmtId="0" fontId="11" fillId="0" borderId="18" xfId="0" applyFont="1" applyBorder="1" applyAlignment="1">
      <alignment horizontal="center"/>
    </xf>
    <xf numFmtId="0" fontId="11" fillId="0" borderId="16" xfId="0" applyFont="1" applyBorder="1" applyAlignment="1">
      <alignment horizontal="center"/>
    </xf>
    <xf numFmtId="0" fontId="11" fillId="0" borderId="18" xfId="2" applyFont="1" applyFill="1" applyBorder="1" applyAlignment="1">
      <alignment horizontal="center"/>
    </xf>
  </cellXfs>
  <cellStyles count="4">
    <cellStyle name="20% - Accent2" xfId="1" builtinId="34"/>
    <cellStyle name="20% - Accent4" xfId="3" builtinId="42"/>
    <cellStyle name="Bad" xfId="2" builtinId="2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1DD2E-207D-4152-B887-F0414E5B89BD}">
  <dimension ref="A1:X74"/>
  <sheetViews>
    <sheetView tabSelected="1" zoomScale="115" zoomScaleNormal="115" workbookViewId="0">
      <selection activeCell="B2" sqref="B2"/>
    </sheetView>
  </sheetViews>
  <sheetFormatPr defaultRowHeight="15" x14ac:dyDescent="0.25"/>
  <cols>
    <col min="2" max="2" width="36" customWidth="1"/>
    <col min="3" max="3" width="13.140625" bestFit="1" customWidth="1"/>
    <col min="4" max="4" width="13" customWidth="1"/>
    <col min="5" max="5" width="13.85546875" bestFit="1" customWidth="1"/>
    <col min="6" max="7" width="11.42578125" bestFit="1" customWidth="1"/>
    <col min="8" max="8" width="11" customWidth="1"/>
    <col min="9" max="9" width="10.140625" customWidth="1"/>
    <col min="10" max="10" width="10.42578125" customWidth="1"/>
    <col min="11" max="11" width="11.140625" customWidth="1"/>
    <col min="12" max="12" width="11.5703125" bestFit="1" customWidth="1"/>
    <col min="13" max="13" width="10.28515625" customWidth="1"/>
    <col min="14" max="14" width="11.7109375" customWidth="1"/>
  </cols>
  <sheetData>
    <row r="1" spans="1:24" x14ac:dyDescent="0.25">
      <c r="B1" s="6"/>
    </row>
    <row r="2" spans="1:24" x14ac:dyDescent="0.25">
      <c r="B2" s="94" t="s">
        <v>50</v>
      </c>
      <c r="D2" s="2"/>
      <c r="E2" s="2"/>
      <c r="F2" s="2"/>
      <c r="G2" s="2"/>
      <c r="H2" s="2"/>
      <c r="I2" s="2"/>
      <c r="J2" s="2"/>
      <c r="K2" s="2"/>
      <c r="L2" s="2"/>
      <c r="M2" s="2"/>
      <c r="N2" s="2"/>
      <c r="O2" s="2"/>
      <c r="P2" s="2"/>
    </row>
    <row r="3" spans="1:24" x14ac:dyDescent="0.25">
      <c r="B3" s="6"/>
      <c r="C3" s="8"/>
      <c r="L3" t="s">
        <v>18</v>
      </c>
      <c r="M3">
        <v>10.980499999999999</v>
      </c>
      <c r="N3" t="s">
        <v>19</v>
      </c>
    </row>
    <row r="4" spans="1:24" x14ac:dyDescent="0.25">
      <c r="B4" s="6" t="s">
        <v>1</v>
      </c>
      <c r="C4" s="2">
        <v>49134</v>
      </c>
      <c r="D4" s="2">
        <v>49134</v>
      </c>
      <c r="E4" s="2">
        <v>49134</v>
      </c>
      <c r="F4" s="2">
        <v>49134</v>
      </c>
      <c r="G4" s="2">
        <v>49134</v>
      </c>
      <c r="H4" s="2">
        <v>49134</v>
      </c>
      <c r="I4" s="2"/>
      <c r="J4" s="2"/>
      <c r="K4" s="2"/>
      <c r="L4" s="2">
        <v>49134</v>
      </c>
      <c r="M4" s="2">
        <v>49134</v>
      </c>
      <c r="N4" s="2">
        <v>49134</v>
      </c>
      <c r="Q4" s="89"/>
      <c r="R4" s="89"/>
      <c r="S4" s="89"/>
      <c r="T4" s="89"/>
      <c r="U4" s="89"/>
      <c r="V4" s="89"/>
      <c r="W4" s="89"/>
      <c r="X4" s="89"/>
    </row>
    <row r="5" spans="1:24" x14ac:dyDescent="0.25">
      <c r="B5" s="6" t="s">
        <v>2</v>
      </c>
      <c r="I5" s="2">
        <v>15621</v>
      </c>
      <c r="J5" s="2">
        <v>15621</v>
      </c>
      <c r="K5" s="2">
        <v>15621</v>
      </c>
      <c r="L5" s="2">
        <v>15621</v>
      </c>
      <c r="Q5" s="89"/>
      <c r="R5" s="89"/>
      <c r="S5" s="89"/>
      <c r="T5" s="89"/>
      <c r="U5" s="89"/>
      <c r="V5" s="89"/>
      <c r="W5" s="89"/>
      <c r="X5" s="89"/>
    </row>
    <row r="6" spans="1:24" x14ac:dyDescent="0.25">
      <c r="B6" s="145" t="s">
        <v>51</v>
      </c>
      <c r="C6" s="115">
        <v>1</v>
      </c>
      <c r="D6" s="115">
        <v>100</v>
      </c>
      <c r="E6" s="115">
        <v>365</v>
      </c>
      <c r="F6" s="115">
        <v>1</v>
      </c>
      <c r="G6" s="115">
        <v>100</v>
      </c>
      <c r="H6" s="115">
        <v>365</v>
      </c>
      <c r="I6" s="115">
        <v>1</v>
      </c>
      <c r="J6" s="115">
        <v>100</v>
      </c>
      <c r="K6" s="115">
        <v>365</v>
      </c>
      <c r="L6" s="115">
        <v>1</v>
      </c>
      <c r="M6" s="115">
        <v>100</v>
      </c>
      <c r="N6" s="116">
        <v>365</v>
      </c>
      <c r="Q6" s="89"/>
      <c r="R6" s="89"/>
      <c r="S6" s="89"/>
      <c r="T6" s="89"/>
      <c r="U6" s="89"/>
      <c r="V6" s="89"/>
      <c r="W6" s="89"/>
      <c r="X6" s="89"/>
    </row>
    <row r="7" spans="1:24" x14ac:dyDescent="0.25">
      <c r="B7" s="146"/>
      <c r="C7" s="160" t="s">
        <v>0</v>
      </c>
      <c r="D7" s="162"/>
      <c r="E7" s="161"/>
      <c r="F7" s="162" t="s">
        <v>36</v>
      </c>
      <c r="G7" s="162"/>
      <c r="H7" s="162"/>
      <c r="I7" s="160" t="s">
        <v>12</v>
      </c>
      <c r="J7" s="162"/>
      <c r="K7" s="161"/>
      <c r="L7" s="162" t="s">
        <v>20</v>
      </c>
      <c r="M7" s="162"/>
      <c r="N7" s="161"/>
      <c r="Q7" s="89"/>
      <c r="R7" s="89"/>
      <c r="S7" s="90"/>
      <c r="T7" s="90"/>
      <c r="U7" s="90"/>
      <c r="V7" s="90"/>
      <c r="W7" s="89"/>
      <c r="X7" s="89"/>
    </row>
    <row r="8" spans="1:24" x14ac:dyDescent="0.25">
      <c r="B8" s="146"/>
      <c r="C8" s="166">
        <f>C6</f>
        <v>1</v>
      </c>
      <c r="D8" s="167">
        <f t="shared" ref="D8:N8" si="0">D6</f>
        <v>100</v>
      </c>
      <c r="E8" s="168">
        <f t="shared" si="0"/>
        <v>365</v>
      </c>
      <c r="F8" s="167">
        <f t="shared" si="0"/>
        <v>1</v>
      </c>
      <c r="G8" s="167">
        <f t="shared" si="0"/>
        <v>100</v>
      </c>
      <c r="H8" s="167">
        <f t="shared" si="0"/>
        <v>365</v>
      </c>
      <c r="I8" s="166">
        <f t="shared" si="0"/>
        <v>1</v>
      </c>
      <c r="J8" s="167">
        <f t="shared" si="0"/>
        <v>100</v>
      </c>
      <c r="K8" s="168">
        <f t="shared" si="0"/>
        <v>365</v>
      </c>
      <c r="L8" s="167">
        <f t="shared" si="0"/>
        <v>1</v>
      </c>
      <c r="M8" s="167">
        <f t="shared" si="0"/>
        <v>100</v>
      </c>
      <c r="N8" s="168">
        <f t="shared" si="0"/>
        <v>365</v>
      </c>
      <c r="Q8" s="89"/>
      <c r="R8" s="89"/>
      <c r="S8" s="89"/>
      <c r="T8" s="89"/>
      <c r="U8" s="89"/>
      <c r="V8" s="89"/>
      <c r="W8" s="89"/>
      <c r="X8" s="89"/>
    </row>
    <row r="9" spans="1:24" x14ac:dyDescent="0.25">
      <c r="B9" s="92" t="s">
        <v>39</v>
      </c>
      <c r="C9" s="84">
        <f>0.1782*C4*0.86</f>
        <v>7529.8837679999997</v>
      </c>
      <c r="D9" s="84">
        <f>(C9*30)+(C9*70*0.8)</f>
        <v>647570.00404799997</v>
      </c>
      <c r="E9" s="41">
        <f>(C9*30)+(C9*120*0.8)+(C9*90*0.6)+(C9*125*0.25)</f>
        <v>1590687.9459899999</v>
      </c>
      <c r="F9" s="84"/>
      <c r="G9" s="84"/>
      <c r="H9" s="97"/>
      <c r="I9" s="25">
        <f>25.3*I5/100*0.92</f>
        <v>3635.9439600000001</v>
      </c>
      <c r="J9" s="97">
        <f>I9*J6</f>
        <v>363594.39600000001</v>
      </c>
      <c r="K9" s="24">
        <f>I9*K6</f>
        <v>1327119.5453999999</v>
      </c>
      <c r="L9" s="97">
        <f>L4*(4.28-0.19)/M3</f>
        <v>18301.357861663859</v>
      </c>
      <c r="M9" s="97">
        <f>L9*M6</f>
        <v>1830135.786166386</v>
      </c>
      <c r="N9" s="24">
        <f>L9*N6</f>
        <v>6679995.6195073081</v>
      </c>
      <c r="Q9" s="89"/>
      <c r="R9" s="89"/>
      <c r="S9" s="91"/>
      <c r="T9" s="91"/>
      <c r="U9" s="91"/>
      <c r="V9" s="91"/>
      <c r="W9" s="89"/>
      <c r="X9" s="89"/>
    </row>
    <row r="10" spans="1:24" x14ac:dyDescent="0.25">
      <c r="B10" s="147" t="s">
        <v>40</v>
      </c>
      <c r="C10" s="84"/>
      <c r="D10" s="84"/>
      <c r="E10" s="41"/>
      <c r="F10" s="84">
        <f>0.1*F4</f>
        <v>4913.4000000000005</v>
      </c>
      <c r="G10" s="84">
        <f>F10*G6*0.6</f>
        <v>294804</v>
      </c>
      <c r="H10" s="97">
        <f>0.085*H4*H6*0.4</f>
        <v>609752.94000000006</v>
      </c>
      <c r="I10" s="25"/>
      <c r="J10" s="97"/>
      <c r="K10" s="24"/>
      <c r="L10" s="97"/>
      <c r="M10" s="97"/>
      <c r="N10" s="24"/>
      <c r="Q10" s="89"/>
      <c r="R10" s="89"/>
      <c r="S10" s="91"/>
      <c r="T10" s="91"/>
      <c r="U10" s="91"/>
      <c r="V10" s="91"/>
      <c r="W10" s="89"/>
      <c r="X10" s="89"/>
    </row>
    <row r="11" spans="1:24" x14ac:dyDescent="0.25">
      <c r="B11" s="147" t="s">
        <v>41</v>
      </c>
      <c r="C11" s="84"/>
      <c r="D11" s="84"/>
      <c r="E11" s="41"/>
      <c r="F11" s="84">
        <f>0.26*F4</f>
        <v>12774.84</v>
      </c>
      <c r="G11" s="84">
        <f>F11*G6*0.6</f>
        <v>766490.4</v>
      </c>
      <c r="H11" s="97">
        <f>F11*H6*0.4</f>
        <v>1865126.64</v>
      </c>
      <c r="I11" s="25"/>
      <c r="J11" s="97"/>
      <c r="K11" s="24"/>
      <c r="L11" s="97"/>
      <c r="M11" s="97"/>
      <c r="N11" s="24"/>
      <c r="Q11" s="89"/>
      <c r="R11" s="89"/>
      <c r="S11" s="91"/>
      <c r="T11" s="91"/>
      <c r="U11" s="91"/>
      <c r="V11" s="91"/>
      <c r="W11" s="89"/>
      <c r="X11" s="89"/>
    </row>
    <row r="12" spans="1:24" x14ac:dyDescent="0.25">
      <c r="B12" s="147" t="s">
        <v>42</v>
      </c>
      <c r="C12" s="84">
        <f>2*114</f>
        <v>228</v>
      </c>
      <c r="D12" s="84">
        <f>C12*D6</f>
        <v>22800</v>
      </c>
      <c r="E12" s="41">
        <f>C12*E6</f>
        <v>83220</v>
      </c>
      <c r="F12" s="84">
        <f>440*2</f>
        <v>880</v>
      </c>
      <c r="G12" s="84">
        <f>F12*G6</f>
        <v>88000</v>
      </c>
      <c r="H12" s="97">
        <f>F12*H6</f>
        <v>321200</v>
      </c>
      <c r="I12" s="25">
        <f>225.85*2</f>
        <v>451.7</v>
      </c>
      <c r="J12" s="97">
        <f>I12*J6</f>
        <v>45170</v>
      </c>
      <c r="K12" s="24">
        <f>I12*K6</f>
        <v>164870.5</v>
      </c>
      <c r="L12" s="97">
        <f>2*5198/M3</f>
        <v>946.76927280178506</v>
      </c>
      <c r="M12" s="97">
        <f>L12*M6</f>
        <v>94676.927280178512</v>
      </c>
      <c r="N12" s="24">
        <f>L12*N6</f>
        <v>345570.78457265155</v>
      </c>
      <c r="Q12" s="89"/>
      <c r="R12" s="89"/>
      <c r="S12" s="91"/>
      <c r="T12" s="91"/>
      <c r="U12" s="91"/>
      <c r="V12" s="91"/>
      <c r="W12" s="89"/>
      <c r="X12" s="89"/>
    </row>
    <row r="13" spans="1:24" x14ac:dyDescent="0.25">
      <c r="A13" s="22"/>
      <c r="B13" s="92" t="s">
        <v>43</v>
      </c>
      <c r="C13" s="32">
        <f>C4*0.016</f>
        <v>786.14400000000001</v>
      </c>
      <c r="D13" s="32">
        <f>C13*D6</f>
        <v>78614.399999999994</v>
      </c>
      <c r="E13" s="33">
        <f>C13*E6</f>
        <v>286942.56</v>
      </c>
      <c r="F13" s="32">
        <f>0.02*F4</f>
        <v>982.68000000000006</v>
      </c>
      <c r="G13" s="32">
        <f>F13*G6</f>
        <v>98268</v>
      </c>
      <c r="H13" s="81">
        <f>F13*H6</f>
        <v>358678.2</v>
      </c>
      <c r="I13" s="88">
        <f>23.86*I5/100</f>
        <v>3727.1705999999999</v>
      </c>
      <c r="J13" s="81">
        <f>I13*J6</f>
        <v>372717.06</v>
      </c>
      <c r="K13" s="82">
        <f>I13*K6</f>
        <v>1360417.2690000001</v>
      </c>
      <c r="L13" s="81"/>
      <c r="M13" s="81"/>
      <c r="N13" s="82"/>
      <c r="Q13" s="89"/>
      <c r="R13" s="89"/>
      <c r="S13" s="91"/>
      <c r="T13" s="91"/>
      <c r="U13" s="91"/>
      <c r="V13" s="91"/>
      <c r="W13" s="89"/>
      <c r="X13" s="89"/>
    </row>
    <row r="14" spans="1:24" x14ac:dyDescent="0.25">
      <c r="B14" s="147" t="s">
        <v>44</v>
      </c>
      <c r="C14" s="84">
        <f>2500*1.575*2</f>
        <v>7875</v>
      </c>
      <c r="D14" s="84">
        <f>C14*D6</f>
        <v>787500</v>
      </c>
      <c r="E14" s="41">
        <f>C14*E6</f>
        <v>2874375</v>
      </c>
      <c r="F14" s="84">
        <f>2500*1*2</f>
        <v>5000</v>
      </c>
      <c r="G14" s="84">
        <f>F14*G6*0.6</f>
        <v>300000</v>
      </c>
      <c r="H14" s="97">
        <f>F14*H6*0.4</f>
        <v>730000</v>
      </c>
      <c r="I14" s="25">
        <f>2500*2.04*2</f>
        <v>10200</v>
      </c>
      <c r="J14" s="97">
        <f>I14*J6</f>
        <v>1020000</v>
      </c>
      <c r="K14" s="24">
        <f>I14*K6</f>
        <v>3723000</v>
      </c>
      <c r="L14" s="97">
        <f>1500*20.4*2/M3</f>
        <v>5573.5166886753786</v>
      </c>
      <c r="M14" s="97">
        <f>L14*M6</f>
        <v>557351.66886753787</v>
      </c>
      <c r="N14" s="24">
        <f>L14*N6</f>
        <v>2034333.5913665132</v>
      </c>
      <c r="Q14" s="89"/>
      <c r="R14" s="89"/>
      <c r="S14" s="91"/>
      <c r="T14" s="91"/>
      <c r="U14" s="91"/>
      <c r="V14" s="91"/>
      <c r="W14" s="89"/>
      <c r="X14" s="89"/>
    </row>
    <row r="15" spans="1:24" x14ac:dyDescent="0.25">
      <c r="B15" s="147" t="s">
        <v>45</v>
      </c>
      <c r="C15" s="84">
        <f>100*4.5*2</f>
        <v>900</v>
      </c>
      <c r="D15" s="84">
        <f>C15*D6</f>
        <v>90000</v>
      </c>
      <c r="E15" s="41">
        <f>C15*E6</f>
        <v>328500</v>
      </c>
      <c r="F15" s="84"/>
      <c r="G15" s="84"/>
      <c r="H15" s="97"/>
      <c r="I15" s="25">
        <f>100*15*2</f>
        <v>3000</v>
      </c>
      <c r="J15" s="97">
        <f>I15*J6</f>
        <v>300000</v>
      </c>
      <c r="K15" s="24">
        <f>I15*K6</f>
        <v>1095000</v>
      </c>
      <c r="L15" s="97">
        <f>((100*27.03)+(90*21.44)+(10*47.2))*2/M3</f>
        <v>929.75729702654723</v>
      </c>
      <c r="M15" s="97">
        <f>L15*M6</f>
        <v>92975.729702654717</v>
      </c>
      <c r="N15" s="24">
        <f>L15*N6</f>
        <v>339361.41341468971</v>
      </c>
      <c r="Q15" s="89"/>
      <c r="R15" s="89"/>
      <c r="S15" s="91"/>
      <c r="T15" s="91"/>
      <c r="U15" s="91"/>
      <c r="V15" s="91"/>
      <c r="W15" s="89"/>
      <c r="X15" s="89"/>
    </row>
    <row r="16" spans="1:24" x14ac:dyDescent="0.25">
      <c r="B16" s="147" t="s">
        <v>46</v>
      </c>
      <c r="C16" s="84">
        <f>2966*2</f>
        <v>5932</v>
      </c>
      <c r="D16" s="84">
        <f>C16*D6</f>
        <v>593200</v>
      </c>
      <c r="E16" s="41">
        <f>C16*E6</f>
        <v>2165180</v>
      </c>
      <c r="F16" s="84"/>
      <c r="G16" s="84"/>
      <c r="H16" s="97"/>
      <c r="I16" s="25">
        <f>1704*2</f>
        <v>3408</v>
      </c>
      <c r="J16" s="97">
        <f>I16*J6</f>
        <v>340800</v>
      </c>
      <c r="K16" s="24">
        <f>I16*K6</f>
        <v>1243920</v>
      </c>
      <c r="L16" s="97">
        <f>(620+15540+(6*4820))*2/M3</f>
        <v>8210.9193570420302</v>
      </c>
      <c r="M16" s="97">
        <f>L16*M6</f>
        <v>821091.93570420297</v>
      </c>
      <c r="N16" s="24">
        <f>L16*N6</f>
        <v>2996985.5653203409</v>
      </c>
      <c r="Q16" s="89"/>
      <c r="R16" s="89"/>
      <c r="S16" s="91"/>
      <c r="T16" s="91"/>
      <c r="U16" s="91"/>
      <c r="V16" s="91"/>
      <c r="W16" s="89"/>
      <c r="X16" s="89"/>
    </row>
    <row r="17" spans="2:24" x14ac:dyDescent="0.25">
      <c r="B17" s="147" t="s">
        <v>47</v>
      </c>
      <c r="C17" s="84">
        <f>0.3*C4</f>
        <v>14740.199999999999</v>
      </c>
      <c r="D17" s="84">
        <f>C17*50</f>
        <v>737010</v>
      </c>
      <c r="E17" s="41">
        <f>C17*60</f>
        <v>884411.99999999988</v>
      </c>
      <c r="F17" s="84">
        <f>0.053*F4</f>
        <v>2604.1019999999999</v>
      </c>
      <c r="G17" s="84">
        <f>F17*10</f>
        <v>26041.019999999997</v>
      </c>
      <c r="H17" s="97">
        <f>F17*10</f>
        <v>26041.019999999997</v>
      </c>
      <c r="I17" s="25">
        <v>16215</v>
      </c>
      <c r="J17" s="97">
        <f>I17*30</f>
        <v>486450</v>
      </c>
      <c r="K17" s="24">
        <f>I17*30</f>
        <v>486450</v>
      </c>
      <c r="L17" s="97">
        <f>(12040+36005)/M3</f>
        <v>4375.4838122125593</v>
      </c>
      <c r="M17" s="97">
        <f>(((12040+36005)*2*12)+((12040+36005)*12*0.75)+((12040+36005)*12*0.5)+((12040+36005)*12*0.25))/M3+((2*2500*2.02)*M6/M3)+((100*15*2)*M6/M3)</f>
        <v>303072.71982150181</v>
      </c>
      <c r="N17" s="24">
        <f>(((12040+36005)*2*12)+((12040+36005)*12*0.75)+((12040+36005)*12*0.5)+((12040+36005)*12*0.25))/M3+((2*2500*2.02)*N6/M3)+((100*10*2.68*2)*N6/M3)</f>
        <v>697672.23714767094</v>
      </c>
      <c r="Q17" s="89"/>
      <c r="R17" s="89"/>
      <c r="S17" s="89"/>
      <c r="T17" s="89"/>
      <c r="U17" s="89"/>
      <c r="V17" s="89"/>
      <c r="W17" s="89"/>
      <c r="X17" s="89"/>
    </row>
    <row r="18" spans="2:24" x14ac:dyDescent="0.25">
      <c r="B18" s="146"/>
      <c r="C18" s="84"/>
      <c r="D18" s="84"/>
      <c r="E18" s="41"/>
      <c r="F18" s="84"/>
      <c r="G18" s="84"/>
      <c r="H18" s="97"/>
      <c r="I18" s="25"/>
      <c r="J18" s="97"/>
      <c r="K18" s="24"/>
      <c r="L18" s="97"/>
      <c r="M18" s="97"/>
      <c r="N18" s="24"/>
      <c r="Q18" s="89"/>
      <c r="R18" s="89"/>
      <c r="S18" s="89"/>
      <c r="T18" s="89"/>
      <c r="U18" s="89"/>
      <c r="V18" s="89"/>
      <c r="W18" s="89"/>
      <c r="X18" s="89"/>
    </row>
    <row r="19" spans="2:24" x14ac:dyDescent="0.25">
      <c r="B19" s="92" t="s">
        <v>52</v>
      </c>
      <c r="C19" s="32">
        <f>SUM(C9:C18)</f>
        <v>37991.227767999997</v>
      </c>
      <c r="D19" s="32">
        <f>SUM(D9:D18)</f>
        <v>2956694.404048</v>
      </c>
      <c r="E19" s="33">
        <f>SUM(E9:E18)</f>
        <v>8213317.5059900004</v>
      </c>
      <c r="F19" s="32">
        <f>SUM(F9:F18)</f>
        <v>27155.022000000001</v>
      </c>
      <c r="G19" s="32">
        <f>SUM(G9:G18)</f>
        <v>1573603.42</v>
      </c>
      <c r="H19" s="32">
        <f>SUM(H9:H18)</f>
        <v>3910798.8000000003</v>
      </c>
      <c r="I19" s="31">
        <f>SUM(I9:I18)</f>
        <v>40637.814559999999</v>
      </c>
      <c r="J19" s="32">
        <f>SUM(J9:J18)</f>
        <v>2928731.4560000002</v>
      </c>
      <c r="K19" s="33">
        <f>SUM(K9:K18)</f>
        <v>9400777.3144000005</v>
      </c>
      <c r="L19" s="32">
        <f>SUM(L9:L18)</f>
        <v>38337.804289422158</v>
      </c>
      <c r="M19" s="32">
        <f>SUM(M9:M18)</f>
        <v>3699304.7675424619</v>
      </c>
      <c r="N19" s="33">
        <f>SUM(N9:N18)</f>
        <v>13093919.211329175</v>
      </c>
      <c r="Q19" s="89"/>
      <c r="R19" s="89"/>
      <c r="S19" s="89"/>
      <c r="T19" s="89"/>
      <c r="U19" s="89"/>
      <c r="V19" s="89"/>
      <c r="W19" s="89"/>
      <c r="X19" s="89"/>
    </row>
    <row r="20" spans="2:24" x14ac:dyDescent="0.25">
      <c r="B20" s="93" t="s">
        <v>53</v>
      </c>
      <c r="C20" s="35">
        <f>C19/C6</f>
        <v>37991.227767999997</v>
      </c>
      <c r="D20" s="35">
        <f>D19/D6</f>
        <v>29566.944040480001</v>
      </c>
      <c r="E20" s="36">
        <f>E19/E6</f>
        <v>22502.239742438356</v>
      </c>
      <c r="F20" s="38">
        <f>F19/F6</f>
        <v>27155.022000000001</v>
      </c>
      <c r="G20" s="38">
        <f>G19/G6</f>
        <v>15736.0342</v>
      </c>
      <c r="H20" s="38">
        <f>H19/H6</f>
        <v>10714.517260273973</v>
      </c>
      <c r="I20" s="37">
        <f>I19/I6</f>
        <v>40637.814559999999</v>
      </c>
      <c r="J20" s="38">
        <f>J19/J6</f>
        <v>29287.314560000003</v>
      </c>
      <c r="K20" s="39">
        <f>K19/K6</f>
        <v>25755.5542860274</v>
      </c>
      <c r="L20" s="38">
        <f>L19/L6</f>
        <v>38337.804289422158</v>
      </c>
      <c r="M20" s="38">
        <f>M19/M6</f>
        <v>36993.047675424619</v>
      </c>
      <c r="N20" s="39">
        <f>N19/N6</f>
        <v>35873.751263915547</v>
      </c>
      <c r="Q20" s="89"/>
      <c r="R20" s="89"/>
      <c r="S20" s="89"/>
      <c r="T20" s="89"/>
      <c r="U20" s="89"/>
      <c r="V20" s="89"/>
      <c r="W20" s="89"/>
      <c r="X20" s="89"/>
    </row>
    <row r="21" spans="2:24" x14ac:dyDescent="0.25">
      <c r="B21" s="148" t="s">
        <v>54</v>
      </c>
      <c r="C21" s="163">
        <f>C17/C8</f>
        <v>14740.199999999999</v>
      </c>
      <c r="D21" s="163">
        <f t="shared" ref="D21:N21" si="1">D17/D8</f>
        <v>7370.1</v>
      </c>
      <c r="E21" s="164">
        <f t="shared" si="1"/>
        <v>2423.0465753424655</v>
      </c>
      <c r="F21" s="163">
        <f t="shared" si="1"/>
        <v>2604.1019999999999</v>
      </c>
      <c r="G21" s="163">
        <f t="shared" si="1"/>
        <v>260.41019999999997</v>
      </c>
      <c r="H21" s="164">
        <f t="shared" si="1"/>
        <v>71.345260273972599</v>
      </c>
      <c r="I21" s="165">
        <f t="shared" si="1"/>
        <v>16215</v>
      </c>
      <c r="J21" s="163">
        <f t="shared" si="1"/>
        <v>4864.5</v>
      </c>
      <c r="K21" s="164">
        <f t="shared" si="1"/>
        <v>1332.7397260273972</v>
      </c>
      <c r="L21" s="165">
        <f t="shared" si="1"/>
        <v>4375.4838122125593</v>
      </c>
      <c r="M21" s="163">
        <f t="shared" si="1"/>
        <v>3030.7271982150182</v>
      </c>
      <c r="N21" s="164">
        <f t="shared" si="1"/>
        <v>1911.4307867059479</v>
      </c>
      <c r="Q21" s="89"/>
      <c r="R21" s="89"/>
      <c r="S21" s="89"/>
      <c r="T21" s="89"/>
      <c r="U21" s="89"/>
      <c r="V21" s="89"/>
      <c r="W21" s="89"/>
      <c r="X21" s="89"/>
    </row>
    <row r="22" spans="2:24" x14ac:dyDescent="0.25">
      <c r="B22" s="62"/>
      <c r="C22" s="62"/>
      <c r="D22" s="62"/>
      <c r="E22" s="62"/>
      <c r="F22" s="62"/>
      <c r="G22" s="62"/>
      <c r="H22" s="62"/>
      <c r="I22" s="62"/>
      <c r="J22" s="62"/>
      <c r="K22" s="62"/>
      <c r="L22" s="62"/>
      <c r="M22" s="62"/>
      <c r="N22" s="62"/>
      <c r="O22" s="62"/>
      <c r="P22" s="62"/>
      <c r="Q22" s="62"/>
      <c r="R22" s="62"/>
      <c r="S22" s="62"/>
    </row>
    <row r="23" spans="2:24" x14ac:dyDescent="0.25">
      <c r="B23" s="62"/>
      <c r="C23" s="79"/>
      <c r="D23" s="79"/>
      <c r="E23" s="79"/>
      <c r="F23" s="62"/>
      <c r="G23" s="79"/>
      <c r="H23" s="79"/>
      <c r="I23" s="79"/>
      <c r="J23" s="62"/>
      <c r="K23" s="80"/>
      <c r="L23" s="80"/>
      <c r="M23" s="80"/>
      <c r="N23" s="62"/>
      <c r="O23" s="80"/>
      <c r="P23" s="80"/>
      <c r="Q23" s="80"/>
      <c r="R23" s="62"/>
      <c r="S23" s="62"/>
    </row>
    <row r="24" spans="2:24" x14ac:dyDescent="0.25">
      <c r="B24" s="62"/>
      <c r="C24" s="64"/>
      <c r="D24" s="64"/>
      <c r="E24" s="64"/>
      <c r="F24" s="62"/>
      <c r="G24" s="64"/>
      <c r="H24" s="64"/>
      <c r="I24" s="64"/>
      <c r="J24" s="62"/>
      <c r="K24" s="64"/>
      <c r="L24" s="64"/>
      <c r="M24" s="64"/>
      <c r="N24" s="62"/>
      <c r="O24" s="64"/>
      <c r="P24" s="64"/>
      <c r="Q24" s="64"/>
      <c r="R24" s="62"/>
      <c r="S24" s="62"/>
    </row>
    <row r="25" spans="2:24" x14ac:dyDescent="0.25">
      <c r="B25" s="61"/>
      <c r="C25" s="65"/>
      <c r="D25" s="65"/>
      <c r="E25" s="65"/>
      <c r="F25" s="62"/>
      <c r="G25" s="65"/>
      <c r="H25" s="65"/>
      <c r="I25" s="65"/>
      <c r="J25" s="62"/>
      <c r="K25" s="65"/>
      <c r="L25" s="65"/>
      <c r="M25" s="65"/>
      <c r="N25" s="62"/>
      <c r="O25" s="65"/>
      <c r="P25" s="65"/>
      <c r="Q25" s="65"/>
      <c r="R25" s="62"/>
      <c r="S25" s="62"/>
    </row>
    <row r="26" spans="2:24" x14ac:dyDescent="0.25">
      <c r="B26" s="62"/>
      <c r="C26" s="66"/>
      <c r="D26" s="66"/>
      <c r="E26" s="66"/>
      <c r="F26" s="62"/>
      <c r="G26" s="66"/>
      <c r="H26" s="66"/>
      <c r="I26" s="66"/>
      <c r="J26" s="62"/>
      <c r="K26" s="66"/>
      <c r="L26" s="66"/>
      <c r="M26" s="66"/>
      <c r="N26" s="62"/>
      <c r="O26" s="66"/>
      <c r="P26" s="66"/>
      <c r="Q26" s="66"/>
      <c r="R26" s="62"/>
      <c r="S26" s="62"/>
    </row>
    <row r="27" spans="2:24" x14ac:dyDescent="0.25">
      <c r="B27" s="61"/>
      <c r="C27" s="67"/>
      <c r="D27" s="67"/>
      <c r="E27" s="67"/>
      <c r="F27" s="62"/>
      <c r="G27" s="67"/>
      <c r="H27" s="67"/>
      <c r="I27" s="67"/>
      <c r="J27" s="62"/>
      <c r="K27" s="67"/>
      <c r="L27" s="67"/>
      <c r="M27" s="67"/>
      <c r="N27" s="62"/>
      <c r="O27" s="67"/>
      <c r="P27" s="67"/>
      <c r="Q27" s="67"/>
      <c r="R27" s="62"/>
      <c r="S27" s="62"/>
    </row>
    <row r="28" spans="2:24" x14ac:dyDescent="0.25">
      <c r="B28" s="62"/>
      <c r="C28" s="62"/>
      <c r="D28" s="62"/>
      <c r="E28" s="62"/>
      <c r="F28" s="62"/>
      <c r="G28" s="62"/>
      <c r="H28" s="62"/>
      <c r="I28" s="62"/>
      <c r="J28" s="62"/>
      <c r="K28" s="62"/>
      <c r="L28" s="62"/>
      <c r="M28" s="62"/>
      <c r="N28" s="62"/>
      <c r="O28" s="62"/>
      <c r="P28" s="62"/>
      <c r="Q28" s="62"/>
      <c r="R28" s="62"/>
      <c r="S28" s="62"/>
    </row>
    <row r="29" spans="2:24" x14ac:dyDescent="0.25">
      <c r="B29" s="62"/>
      <c r="C29" s="62"/>
      <c r="D29" s="62"/>
      <c r="E29" s="62"/>
      <c r="F29" s="62"/>
      <c r="G29" s="62"/>
      <c r="H29" s="62"/>
      <c r="I29" s="62"/>
      <c r="J29" s="62"/>
      <c r="K29" s="62"/>
      <c r="L29" s="62"/>
      <c r="M29" s="62"/>
      <c r="N29" s="62"/>
      <c r="O29" s="62"/>
      <c r="P29" s="62"/>
      <c r="Q29" s="62"/>
      <c r="R29" s="62"/>
      <c r="S29" s="62"/>
    </row>
    <row r="30" spans="2:24" x14ac:dyDescent="0.25">
      <c r="B30" s="63" t="s">
        <v>71</v>
      </c>
      <c r="E30" s="62"/>
      <c r="F30" s="62"/>
      <c r="G30" s="62"/>
      <c r="H30" s="62"/>
      <c r="I30" s="62"/>
      <c r="J30" s="62"/>
      <c r="K30" s="62"/>
      <c r="L30" s="62"/>
      <c r="M30" s="62"/>
      <c r="N30" s="62"/>
      <c r="O30" s="62"/>
      <c r="P30" s="62"/>
      <c r="Q30" s="62"/>
      <c r="R30" s="62"/>
      <c r="S30" s="62"/>
    </row>
    <row r="31" spans="2:24" x14ac:dyDescent="0.25">
      <c r="D31" s="76" t="s">
        <v>69</v>
      </c>
      <c r="E31" s="77"/>
      <c r="F31" s="77"/>
      <c r="G31" s="78"/>
      <c r="H31" s="62"/>
      <c r="I31" s="62"/>
      <c r="J31" s="62"/>
      <c r="K31" s="62"/>
      <c r="L31" s="62"/>
      <c r="M31" s="62"/>
      <c r="N31" s="62"/>
      <c r="O31" s="62"/>
      <c r="P31" s="62"/>
      <c r="Q31" s="62"/>
      <c r="R31" s="62"/>
      <c r="S31" s="62"/>
    </row>
    <row r="32" spans="2:24" x14ac:dyDescent="0.25">
      <c r="C32" s="125" t="s">
        <v>70</v>
      </c>
      <c r="D32" s="126" t="s">
        <v>27</v>
      </c>
      <c r="E32" s="127" t="s">
        <v>28</v>
      </c>
      <c r="F32" s="127" t="s">
        <v>26</v>
      </c>
      <c r="G32" s="128" t="s">
        <v>29</v>
      </c>
      <c r="H32" s="62"/>
      <c r="I32" s="62"/>
      <c r="J32" s="62"/>
      <c r="K32" s="62"/>
      <c r="L32" s="62"/>
      <c r="M32" s="62"/>
      <c r="N32" s="62"/>
      <c r="O32" s="62"/>
      <c r="P32" s="62"/>
      <c r="Q32" s="62"/>
      <c r="R32" s="62"/>
      <c r="S32" s="62"/>
    </row>
    <row r="33" spans="2:18" x14ac:dyDescent="0.25">
      <c r="C33" s="123">
        <v>2022</v>
      </c>
      <c r="D33" s="120">
        <v>14240.699421702109</v>
      </c>
      <c r="E33" s="121">
        <v>13144.665543463414</v>
      </c>
      <c r="F33" s="121">
        <v>6567.5515686899507</v>
      </c>
      <c r="G33" s="122">
        <v>4375.4838122125593</v>
      </c>
    </row>
    <row r="34" spans="2:18" x14ac:dyDescent="0.25">
      <c r="C34" s="124">
        <v>2024</v>
      </c>
      <c r="D34" s="100">
        <v>16224.215655024818</v>
      </c>
      <c r="E34" s="104">
        <v>14602.249442192979</v>
      </c>
      <c r="F34" s="104">
        <v>4867.7200491780886</v>
      </c>
      <c r="G34" s="101">
        <v>1622.8769181731252</v>
      </c>
    </row>
    <row r="42" spans="2:18" x14ac:dyDescent="0.25">
      <c r="C42" s="56"/>
      <c r="D42" s="56"/>
      <c r="E42" s="56"/>
    </row>
    <row r="46" spans="2:18" x14ac:dyDescent="0.25">
      <c r="B46" s="62"/>
      <c r="C46" s="62"/>
      <c r="D46" s="62"/>
      <c r="E46" s="62"/>
      <c r="F46" s="62"/>
      <c r="G46" s="62"/>
      <c r="H46" s="62"/>
      <c r="I46" s="62"/>
      <c r="J46" s="62"/>
      <c r="K46" s="62"/>
      <c r="L46" s="62"/>
      <c r="M46" s="62"/>
      <c r="N46" s="62"/>
      <c r="O46" s="62"/>
      <c r="P46" s="62"/>
      <c r="Q46" s="62"/>
      <c r="R46" s="62"/>
    </row>
    <row r="47" spans="2:18" x14ac:dyDescent="0.25">
      <c r="B47" s="62"/>
      <c r="C47" s="62"/>
      <c r="D47" s="62"/>
      <c r="E47" s="62"/>
      <c r="F47" s="62"/>
      <c r="G47" s="62"/>
      <c r="H47" s="62"/>
      <c r="I47" s="62"/>
      <c r="J47" s="62"/>
      <c r="K47" s="62"/>
      <c r="L47" s="62"/>
      <c r="M47" s="62"/>
      <c r="N47" s="62"/>
      <c r="O47" s="62"/>
      <c r="P47" s="62"/>
      <c r="Q47" s="62"/>
      <c r="R47" s="62"/>
    </row>
    <row r="48" spans="2:18" x14ac:dyDescent="0.25">
      <c r="B48" s="62"/>
      <c r="C48" s="63"/>
      <c r="D48" s="63"/>
      <c r="E48" s="63"/>
      <c r="F48" s="62"/>
      <c r="G48" s="63"/>
      <c r="H48" s="63"/>
      <c r="I48" s="63"/>
      <c r="J48" s="62"/>
      <c r="K48" s="62"/>
      <c r="L48" s="62"/>
      <c r="M48" s="62"/>
      <c r="N48" s="62"/>
      <c r="O48" s="62"/>
      <c r="P48" s="62"/>
      <c r="Q48" s="62"/>
      <c r="R48" s="62"/>
    </row>
    <row r="49" spans="2:19" x14ac:dyDescent="0.25">
      <c r="B49" s="62"/>
      <c r="C49" s="64"/>
      <c r="D49" s="64"/>
      <c r="E49" s="64"/>
      <c r="F49" s="62"/>
      <c r="G49" s="64"/>
      <c r="H49" s="64"/>
      <c r="I49" s="64"/>
      <c r="J49" s="62"/>
      <c r="K49" s="64"/>
      <c r="L49" s="64"/>
      <c r="M49" s="64"/>
      <c r="N49" s="62"/>
      <c r="O49" s="64"/>
      <c r="P49" s="64"/>
      <c r="Q49" s="64"/>
      <c r="R49" s="62"/>
    </row>
    <row r="50" spans="2:19" x14ac:dyDescent="0.25">
      <c r="B50" s="61"/>
      <c r="C50" s="65"/>
      <c r="D50" s="65"/>
      <c r="E50" s="65"/>
      <c r="F50" s="62"/>
      <c r="G50" s="65"/>
      <c r="H50" s="65"/>
      <c r="I50" s="65"/>
      <c r="J50" s="62"/>
      <c r="K50" s="65"/>
      <c r="L50" s="65"/>
      <c r="M50" s="65"/>
      <c r="N50" s="62"/>
      <c r="O50" s="65"/>
      <c r="P50" s="65"/>
      <c r="Q50" s="65"/>
      <c r="R50" s="62"/>
    </row>
    <row r="51" spans="2:19" x14ac:dyDescent="0.25">
      <c r="B51" s="62"/>
      <c r="C51" s="66"/>
      <c r="D51" s="66"/>
      <c r="E51" s="66"/>
      <c r="F51" s="62"/>
      <c r="G51" s="66"/>
      <c r="H51" s="66"/>
      <c r="I51" s="66"/>
      <c r="J51" s="62"/>
      <c r="K51" s="66"/>
      <c r="L51" s="66"/>
      <c r="M51" s="66"/>
      <c r="N51" s="62"/>
      <c r="O51" s="66"/>
      <c r="P51" s="66"/>
      <c r="Q51" s="66"/>
      <c r="R51" s="62"/>
    </row>
    <row r="52" spans="2:19" x14ac:dyDescent="0.25">
      <c r="B52" s="62"/>
      <c r="C52" s="66"/>
      <c r="D52" s="66"/>
      <c r="E52" s="66"/>
      <c r="F52" s="62"/>
      <c r="G52" s="66"/>
      <c r="H52" s="66"/>
      <c r="I52" s="66"/>
      <c r="J52" s="62"/>
      <c r="K52" s="66"/>
      <c r="L52" s="66"/>
      <c r="M52" s="66"/>
      <c r="N52" s="62"/>
      <c r="O52" s="66"/>
      <c r="P52" s="66"/>
      <c r="Q52" s="66"/>
      <c r="R52" s="62"/>
    </row>
    <row r="53" spans="2:19" x14ac:dyDescent="0.25">
      <c r="B53" s="61"/>
      <c r="C53" s="67"/>
      <c r="D53" s="67"/>
      <c r="E53" s="67"/>
      <c r="F53" s="62"/>
      <c r="G53" s="67"/>
      <c r="H53" s="67"/>
      <c r="I53" s="67"/>
      <c r="J53" s="62"/>
      <c r="K53" s="67"/>
      <c r="L53" s="67"/>
      <c r="M53" s="67"/>
      <c r="N53" s="62"/>
      <c r="O53" s="67"/>
      <c r="P53" s="67"/>
      <c r="Q53" s="67"/>
      <c r="R53" s="62"/>
    </row>
    <row r="54" spans="2:19" x14ac:dyDescent="0.25">
      <c r="B54" s="62"/>
      <c r="C54" s="62"/>
      <c r="D54" s="62"/>
      <c r="E54" s="62"/>
      <c r="F54" s="62"/>
      <c r="G54" s="62"/>
      <c r="H54" s="62"/>
      <c r="I54" s="62"/>
      <c r="J54" s="62"/>
      <c r="K54" s="62"/>
      <c r="L54" s="62"/>
      <c r="M54" s="62"/>
      <c r="N54" s="62"/>
      <c r="O54" s="62"/>
      <c r="P54" s="62"/>
      <c r="Q54" s="62"/>
      <c r="R54" s="62"/>
    </row>
    <row r="57" spans="2:19" x14ac:dyDescent="0.25">
      <c r="B57" s="62"/>
      <c r="C57" s="72"/>
      <c r="D57" s="72"/>
      <c r="E57" s="62"/>
      <c r="F57" s="62"/>
      <c r="G57" s="62"/>
      <c r="H57" s="62"/>
      <c r="I57" s="62"/>
      <c r="J57" s="62"/>
      <c r="K57" s="62"/>
      <c r="L57" s="62"/>
      <c r="M57" s="62"/>
      <c r="N57" s="62"/>
      <c r="O57" s="62"/>
      <c r="P57" s="62"/>
      <c r="Q57" s="62"/>
      <c r="R57" s="62"/>
      <c r="S57" s="62"/>
    </row>
    <row r="58" spans="2:19" x14ac:dyDescent="0.25">
      <c r="B58" s="62"/>
      <c r="C58" s="73"/>
      <c r="D58" s="73"/>
      <c r="E58" s="62"/>
      <c r="F58" s="62"/>
      <c r="G58" s="62"/>
      <c r="H58" s="62"/>
      <c r="I58" s="62"/>
      <c r="J58" s="62"/>
      <c r="K58" s="62"/>
      <c r="L58" s="62"/>
      <c r="M58" s="62"/>
      <c r="N58" s="62"/>
      <c r="O58" s="62"/>
      <c r="P58" s="62"/>
      <c r="Q58" s="62"/>
      <c r="R58" s="62"/>
      <c r="S58" s="62"/>
    </row>
    <row r="59" spans="2:19" x14ac:dyDescent="0.25">
      <c r="B59" s="62"/>
      <c r="C59" s="63"/>
      <c r="D59" s="63"/>
      <c r="E59" s="62"/>
      <c r="F59" s="62"/>
      <c r="G59" s="63"/>
      <c r="H59" s="63"/>
      <c r="I59" s="62"/>
      <c r="J59" s="62"/>
      <c r="K59" s="63"/>
      <c r="L59" s="63"/>
      <c r="M59" s="62"/>
      <c r="N59" s="62"/>
      <c r="O59" s="62"/>
      <c r="P59" s="62"/>
      <c r="Q59" s="62"/>
      <c r="R59" s="62"/>
      <c r="S59" s="62"/>
    </row>
    <row r="60" spans="2:19" x14ac:dyDescent="0.25">
      <c r="B60" s="61"/>
      <c r="C60" s="67"/>
      <c r="D60" s="67"/>
      <c r="E60" s="67"/>
      <c r="F60" s="67"/>
      <c r="G60" s="67"/>
      <c r="H60" s="67"/>
      <c r="I60" s="67"/>
      <c r="J60" s="67"/>
      <c r="K60" s="67"/>
      <c r="L60" s="67"/>
      <c r="M60" s="67"/>
      <c r="N60" s="67"/>
      <c r="O60" s="62"/>
      <c r="P60" s="62"/>
      <c r="Q60" s="62"/>
      <c r="R60" s="62"/>
      <c r="S60" s="62"/>
    </row>
    <row r="61" spans="2:19" x14ac:dyDescent="0.25">
      <c r="B61" s="62"/>
      <c r="C61" s="67"/>
      <c r="D61" s="67"/>
      <c r="E61" s="67"/>
      <c r="F61" s="67"/>
      <c r="G61" s="62"/>
      <c r="H61" s="62"/>
      <c r="I61" s="62"/>
      <c r="J61" s="62"/>
      <c r="K61" s="62"/>
      <c r="L61" s="62"/>
      <c r="M61" s="62"/>
      <c r="N61" s="62"/>
      <c r="O61" s="62"/>
      <c r="P61" s="62"/>
      <c r="Q61" s="62"/>
      <c r="R61" s="62"/>
      <c r="S61" s="62"/>
    </row>
    <row r="62" spans="2:19" x14ac:dyDescent="0.25">
      <c r="B62" s="62"/>
      <c r="C62" s="67"/>
      <c r="D62" s="67"/>
      <c r="E62" s="67"/>
      <c r="F62" s="67"/>
      <c r="G62" s="62"/>
      <c r="H62" s="62"/>
      <c r="I62" s="62"/>
      <c r="J62" s="62"/>
      <c r="K62" s="62"/>
      <c r="L62" s="62"/>
      <c r="M62" s="62"/>
      <c r="N62" s="62"/>
      <c r="O62" s="62"/>
      <c r="P62" s="62"/>
      <c r="Q62" s="62"/>
      <c r="R62" s="62"/>
      <c r="S62" s="62"/>
    </row>
    <row r="63" spans="2:19" x14ac:dyDescent="0.25">
      <c r="B63" s="62"/>
      <c r="C63" s="63"/>
      <c r="D63" s="63"/>
      <c r="E63" s="63"/>
      <c r="F63" s="63"/>
      <c r="G63" s="63"/>
      <c r="H63" s="63"/>
      <c r="I63" s="62"/>
      <c r="J63" s="62"/>
      <c r="K63" s="62"/>
      <c r="L63" s="62"/>
      <c r="M63" s="62"/>
      <c r="N63" s="62"/>
      <c r="O63" s="62"/>
      <c r="P63" s="62"/>
      <c r="Q63" s="62"/>
      <c r="R63" s="62"/>
      <c r="S63" s="62"/>
    </row>
    <row r="64" spans="2:19" x14ac:dyDescent="0.25">
      <c r="B64" s="62"/>
      <c r="C64" s="64"/>
      <c r="D64" s="64"/>
      <c r="E64" s="64"/>
      <c r="F64" s="64"/>
      <c r="G64" s="64"/>
      <c r="H64" s="64"/>
      <c r="I64" s="64"/>
      <c r="J64" s="64"/>
      <c r="K64" s="64"/>
      <c r="L64" s="64"/>
      <c r="M64" s="64"/>
      <c r="N64" s="64"/>
      <c r="O64" s="62"/>
      <c r="P64" s="62"/>
      <c r="Q64" s="62"/>
      <c r="R64" s="62"/>
      <c r="S64" s="62"/>
    </row>
    <row r="65" spans="2:19" x14ac:dyDescent="0.25">
      <c r="B65" s="74"/>
      <c r="C65" s="68"/>
      <c r="D65" s="68"/>
      <c r="E65" s="68"/>
      <c r="F65" s="68"/>
      <c r="G65" s="68"/>
      <c r="H65" s="68"/>
      <c r="I65" s="68"/>
      <c r="J65" s="68"/>
      <c r="K65" s="68"/>
      <c r="L65" s="68"/>
      <c r="M65" s="68"/>
      <c r="N65" s="68"/>
      <c r="O65" s="62"/>
      <c r="P65" s="62"/>
      <c r="Q65" s="62"/>
      <c r="R65" s="62"/>
      <c r="S65" s="62"/>
    </row>
    <row r="66" spans="2:19" x14ac:dyDescent="0.25">
      <c r="B66" s="62"/>
      <c r="C66" s="75"/>
      <c r="D66" s="75"/>
      <c r="E66" s="75"/>
      <c r="F66" s="75"/>
      <c r="G66" s="75"/>
      <c r="H66" s="75"/>
      <c r="I66" s="75"/>
      <c r="J66" s="75"/>
      <c r="K66" s="75"/>
      <c r="L66" s="75"/>
      <c r="M66" s="75"/>
      <c r="N66" s="75"/>
      <c r="O66" s="62"/>
      <c r="P66" s="62"/>
      <c r="Q66" s="62"/>
      <c r="R66" s="62"/>
      <c r="S66" s="62"/>
    </row>
    <row r="67" spans="2:19" x14ac:dyDescent="0.25">
      <c r="B67" s="62"/>
      <c r="C67" s="62"/>
      <c r="D67" s="62"/>
      <c r="E67" s="62"/>
      <c r="F67" s="62"/>
      <c r="G67" s="62"/>
      <c r="H67" s="62"/>
      <c r="I67" s="62"/>
      <c r="J67" s="62"/>
      <c r="K67" s="62"/>
      <c r="L67" s="62"/>
      <c r="M67" s="62"/>
      <c r="N67" s="62"/>
      <c r="O67" s="62"/>
      <c r="P67" s="62"/>
      <c r="Q67" s="62"/>
      <c r="R67" s="62"/>
      <c r="S67" s="62"/>
    </row>
    <row r="68" spans="2:19" x14ac:dyDescent="0.25">
      <c r="B68" s="62"/>
      <c r="C68" s="62"/>
      <c r="D68" s="62"/>
      <c r="E68" s="62"/>
      <c r="F68" s="62"/>
      <c r="G68" s="62"/>
      <c r="H68" s="62"/>
      <c r="I68" s="62"/>
      <c r="J68" s="62"/>
      <c r="K68" s="62"/>
      <c r="L68" s="62"/>
      <c r="M68" s="62"/>
      <c r="N68" s="62"/>
      <c r="O68" s="62"/>
      <c r="P68" s="62"/>
      <c r="Q68" s="62"/>
      <c r="R68" s="62"/>
      <c r="S68" s="62"/>
    </row>
    <row r="69" spans="2:19" x14ac:dyDescent="0.25">
      <c r="B69" s="62"/>
      <c r="C69" s="62"/>
      <c r="D69" s="62"/>
      <c r="E69" s="62"/>
      <c r="F69" s="62"/>
      <c r="G69" s="62"/>
      <c r="H69" s="62"/>
      <c r="I69" s="62"/>
      <c r="J69" s="62"/>
      <c r="K69" s="62"/>
      <c r="L69" s="62"/>
      <c r="M69" s="62"/>
      <c r="N69" s="62"/>
      <c r="O69" s="62"/>
      <c r="P69" s="62"/>
      <c r="Q69" s="62"/>
      <c r="R69" s="62"/>
      <c r="S69" s="62"/>
    </row>
    <row r="70" spans="2:19" x14ac:dyDescent="0.25">
      <c r="B70" s="62"/>
      <c r="C70" s="62"/>
      <c r="D70" s="62"/>
      <c r="E70" s="62"/>
      <c r="F70" s="62"/>
      <c r="G70" s="62"/>
      <c r="H70" s="62"/>
      <c r="I70" s="62"/>
      <c r="J70" s="62"/>
      <c r="K70" s="62"/>
      <c r="L70" s="62"/>
      <c r="M70" s="62"/>
      <c r="N70" s="62"/>
      <c r="O70" s="62"/>
      <c r="P70" s="62"/>
      <c r="Q70" s="62"/>
      <c r="R70" s="62"/>
      <c r="S70" s="62"/>
    </row>
    <row r="71" spans="2:19" x14ac:dyDescent="0.25">
      <c r="B71" s="62"/>
      <c r="C71" s="62"/>
      <c r="D71" s="62"/>
      <c r="E71" s="62"/>
      <c r="F71" s="62"/>
      <c r="G71" s="62"/>
      <c r="H71" s="62"/>
      <c r="I71" s="62"/>
      <c r="J71" s="62"/>
      <c r="K71" s="62"/>
      <c r="L71" s="62"/>
      <c r="M71" s="62"/>
      <c r="N71" s="62"/>
      <c r="O71" s="62"/>
      <c r="P71" s="62"/>
      <c r="Q71" s="62"/>
      <c r="R71" s="62"/>
      <c r="S71" s="62"/>
    </row>
    <row r="72" spans="2:19" x14ac:dyDescent="0.25">
      <c r="B72" s="62"/>
      <c r="C72" s="62"/>
      <c r="D72" s="62"/>
      <c r="E72" s="62"/>
      <c r="F72" s="62"/>
      <c r="G72" s="62"/>
      <c r="H72" s="62"/>
      <c r="I72" s="62"/>
      <c r="J72" s="62"/>
      <c r="K72" s="62"/>
      <c r="L72" s="62"/>
      <c r="M72" s="62"/>
      <c r="N72" s="62"/>
      <c r="O72" s="62"/>
      <c r="P72" s="62"/>
      <c r="Q72" s="62"/>
      <c r="R72" s="62"/>
      <c r="S72" s="62"/>
    </row>
    <row r="73" spans="2:19" x14ac:dyDescent="0.25">
      <c r="B73" s="62"/>
      <c r="C73" s="62"/>
      <c r="D73" s="62"/>
      <c r="E73" s="62"/>
      <c r="F73" s="62"/>
      <c r="G73" s="62"/>
      <c r="H73" s="62"/>
      <c r="I73" s="62"/>
      <c r="J73" s="62"/>
      <c r="K73" s="62"/>
      <c r="L73" s="62"/>
      <c r="M73" s="62"/>
      <c r="N73" s="62"/>
      <c r="O73" s="62"/>
      <c r="P73" s="62"/>
      <c r="Q73" s="62"/>
      <c r="R73" s="62"/>
      <c r="S73" s="62"/>
    </row>
    <row r="74" spans="2:19" x14ac:dyDescent="0.25">
      <c r="B74" s="62"/>
      <c r="C74" s="62"/>
      <c r="D74" s="62"/>
      <c r="E74" s="62"/>
      <c r="F74" s="62"/>
      <c r="G74" s="62"/>
      <c r="H74" s="62"/>
      <c r="I74" s="62"/>
      <c r="J74" s="62"/>
      <c r="K74" s="62"/>
      <c r="L74" s="62"/>
      <c r="M74" s="62"/>
      <c r="N74" s="62"/>
      <c r="O74" s="62"/>
      <c r="P74" s="62"/>
      <c r="Q74" s="62"/>
      <c r="R74" s="62"/>
      <c r="S74" s="62"/>
    </row>
  </sheetData>
  <mergeCells count="11">
    <mergeCell ref="C42:E42"/>
    <mergeCell ref="C7:E7"/>
    <mergeCell ref="F7:H7"/>
    <mergeCell ref="I7:K7"/>
    <mergeCell ref="L7:N7"/>
    <mergeCell ref="D31:G31"/>
    <mergeCell ref="S7:V7"/>
    <mergeCell ref="C23:E23"/>
    <mergeCell ref="G23:I23"/>
    <mergeCell ref="K23:M23"/>
    <mergeCell ref="O23:Q23"/>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97E81-52D5-45C6-92E8-70C20E494A44}">
  <dimension ref="B2:V20"/>
  <sheetViews>
    <sheetView zoomScale="130" zoomScaleNormal="130" workbookViewId="0">
      <selection activeCell="B2" sqref="B2"/>
    </sheetView>
  </sheetViews>
  <sheetFormatPr defaultRowHeight="15" x14ac:dyDescent="0.25"/>
  <cols>
    <col min="2" max="2" width="27" bestFit="1" customWidth="1"/>
    <col min="3" max="3" width="13.140625" bestFit="1" customWidth="1"/>
    <col min="4" max="4" width="13" customWidth="1"/>
    <col min="5" max="6" width="11.42578125" bestFit="1" customWidth="1"/>
    <col min="7" max="7" width="9.85546875" customWidth="1"/>
    <col min="8" max="8" width="10.42578125" customWidth="1"/>
    <col min="9" max="10" width="9.28515625" bestFit="1" customWidth="1"/>
    <col min="11" max="12" width="10.140625" bestFit="1" customWidth="1"/>
  </cols>
  <sheetData>
    <row r="2" spans="2:22" x14ac:dyDescent="0.25">
      <c r="B2" s="95" t="s">
        <v>38</v>
      </c>
    </row>
    <row r="3" spans="2:22" x14ac:dyDescent="0.25">
      <c r="C3" t="s">
        <v>55</v>
      </c>
      <c r="G3" t="s">
        <v>56</v>
      </c>
      <c r="J3" t="s">
        <v>18</v>
      </c>
      <c r="K3">
        <v>10.980499999999999</v>
      </c>
      <c r="L3" t="s">
        <v>19</v>
      </c>
    </row>
    <row r="4" spans="2:22" x14ac:dyDescent="0.25">
      <c r="B4" t="s">
        <v>1</v>
      </c>
      <c r="C4" s="12">
        <v>99526</v>
      </c>
      <c r="D4" s="12">
        <v>99526</v>
      </c>
      <c r="E4" s="12">
        <v>99526</v>
      </c>
      <c r="F4" s="12">
        <v>99526</v>
      </c>
      <c r="I4" s="12">
        <v>99526</v>
      </c>
      <c r="K4" s="12">
        <v>99526</v>
      </c>
    </row>
    <row r="5" spans="2:22" x14ac:dyDescent="0.25">
      <c r="B5" t="s">
        <v>2</v>
      </c>
      <c r="G5" s="2">
        <v>63078</v>
      </c>
      <c r="K5" s="2">
        <v>63078</v>
      </c>
      <c r="N5" s="62"/>
      <c r="O5" s="62"/>
      <c r="P5" s="62"/>
      <c r="Q5" s="62"/>
      <c r="R5" s="62"/>
      <c r="S5" s="62"/>
      <c r="T5" s="62"/>
      <c r="U5" s="62"/>
      <c r="V5" s="62"/>
    </row>
    <row r="6" spans="2:22" x14ac:dyDescent="0.25">
      <c r="B6" s="145" t="s">
        <v>51</v>
      </c>
      <c r="C6" s="98">
        <v>1</v>
      </c>
      <c r="D6" s="99">
        <v>5</v>
      </c>
      <c r="E6" s="98">
        <v>1</v>
      </c>
      <c r="F6" s="99">
        <v>5</v>
      </c>
      <c r="G6" s="98">
        <v>1</v>
      </c>
      <c r="H6" s="102">
        <v>5</v>
      </c>
      <c r="I6" s="98">
        <v>1</v>
      </c>
      <c r="J6" s="99">
        <v>5</v>
      </c>
      <c r="K6" s="102">
        <v>1</v>
      </c>
      <c r="L6" s="99">
        <v>5</v>
      </c>
      <c r="M6" s="1"/>
      <c r="N6" s="62"/>
      <c r="O6" s="62"/>
      <c r="P6" s="62"/>
      <c r="Q6" s="62"/>
      <c r="R6" s="62"/>
      <c r="S6" s="62"/>
      <c r="T6" s="62"/>
      <c r="U6" s="62"/>
      <c r="V6" s="62"/>
    </row>
    <row r="7" spans="2:22" x14ac:dyDescent="0.25">
      <c r="B7" s="4"/>
      <c r="C7" s="160" t="s">
        <v>0</v>
      </c>
      <c r="D7" s="161"/>
      <c r="E7" s="160" t="s">
        <v>5</v>
      </c>
      <c r="F7" s="161"/>
      <c r="G7" s="160" t="s">
        <v>25</v>
      </c>
      <c r="H7" s="162"/>
      <c r="I7" s="160" t="s">
        <v>36</v>
      </c>
      <c r="J7" s="161"/>
      <c r="K7" s="162" t="s">
        <v>20</v>
      </c>
      <c r="L7" s="161"/>
      <c r="N7" s="62"/>
      <c r="O7" s="62"/>
      <c r="P7" s="62"/>
      <c r="Q7" s="62"/>
      <c r="R7" s="62"/>
      <c r="S7" s="62"/>
      <c r="T7" s="62"/>
      <c r="U7" s="62"/>
      <c r="V7" s="62"/>
    </row>
    <row r="8" spans="2:22" x14ac:dyDescent="0.25">
      <c r="B8" s="5"/>
      <c r="C8" s="114">
        <v>1</v>
      </c>
      <c r="D8" s="116">
        <v>5</v>
      </c>
      <c r="E8" s="114">
        <v>1</v>
      </c>
      <c r="F8" s="116">
        <v>5</v>
      </c>
      <c r="G8" s="114">
        <v>1</v>
      </c>
      <c r="H8" s="115">
        <v>5</v>
      </c>
      <c r="I8" s="114">
        <v>1</v>
      </c>
      <c r="J8" s="116">
        <v>5</v>
      </c>
      <c r="K8" s="115">
        <v>1</v>
      </c>
      <c r="L8" s="116">
        <v>5</v>
      </c>
      <c r="N8" s="72"/>
      <c r="O8" s="68"/>
      <c r="P8" s="68"/>
      <c r="Q8" s="68"/>
      <c r="R8" s="68"/>
      <c r="S8" s="62"/>
      <c r="T8" s="62"/>
      <c r="U8" s="62"/>
      <c r="V8" s="62"/>
    </row>
    <row r="9" spans="2:22" x14ac:dyDescent="0.25">
      <c r="B9" s="92" t="s">
        <v>39</v>
      </c>
      <c r="C9" s="25">
        <f>0.496*C4</f>
        <v>49364.896000000001</v>
      </c>
      <c r="D9" s="24">
        <f>(0.496*D4*1)+(0.496*D4*0.65*2)+(0.496*D4*0.45*2)</f>
        <v>157967.6672</v>
      </c>
      <c r="E9" s="25">
        <f>0.45*50000</f>
        <v>22500</v>
      </c>
      <c r="F9" s="24">
        <f>(0.45*50000*1)+(0.45*50000*0.4*4)</f>
        <v>58500</v>
      </c>
      <c r="G9" s="16">
        <f>G5/100*21.3</f>
        <v>13435.614</v>
      </c>
      <c r="H9" s="103">
        <f>G9*H8</f>
        <v>67178.069999999992</v>
      </c>
      <c r="I9" s="16"/>
      <c r="J9" s="26"/>
      <c r="K9" s="103">
        <f>(2.19-0.01)*K4/K3</f>
        <v>19759.271435726972</v>
      </c>
      <c r="L9" s="26">
        <f>K9*L8</f>
        <v>98796.357178634862</v>
      </c>
      <c r="N9" s="62"/>
      <c r="O9" s="68"/>
      <c r="P9" s="68"/>
      <c r="Q9" s="68"/>
      <c r="R9" s="68"/>
      <c r="S9" s="62"/>
      <c r="T9" s="62"/>
      <c r="U9" s="62"/>
      <c r="V9" s="62"/>
    </row>
    <row r="10" spans="2:22" x14ac:dyDescent="0.25">
      <c r="B10" s="147" t="s">
        <v>40</v>
      </c>
      <c r="C10" s="25"/>
      <c r="D10" s="24"/>
      <c r="E10" s="25"/>
      <c r="F10" s="24"/>
      <c r="G10" s="16"/>
      <c r="H10" s="103"/>
      <c r="I10" s="16">
        <f>0.1*I4*2</f>
        <v>19905.2</v>
      </c>
      <c r="J10" s="26">
        <f>I10*J8*0.8</f>
        <v>79620.800000000003</v>
      </c>
      <c r="K10" s="103"/>
      <c r="L10" s="26"/>
      <c r="N10" s="62"/>
      <c r="O10" s="62"/>
      <c r="P10" s="62"/>
      <c r="Q10" s="62"/>
      <c r="R10" s="62"/>
      <c r="S10" s="62"/>
      <c r="T10" s="62"/>
      <c r="U10" s="62"/>
      <c r="V10" s="62"/>
    </row>
    <row r="11" spans="2:22" x14ac:dyDescent="0.25">
      <c r="B11" s="147" t="s">
        <v>41</v>
      </c>
      <c r="C11" s="25"/>
      <c r="D11" s="24"/>
      <c r="E11" s="25"/>
      <c r="F11" s="24"/>
      <c r="G11" s="16"/>
      <c r="H11" s="103"/>
      <c r="I11" s="16">
        <f>0.09*I4</f>
        <v>8957.34</v>
      </c>
      <c r="J11" s="26">
        <f>I11*J8*0.8</f>
        <v>35829.360000000001</v>
      </c>
      <c r="K11" s="103"/>
      <c r="L11" s="26"/>
      <c r="N11" s="62"/>
      <c r="O11" s="62"/>
      <c r="P11" s="62"/>
      <c r="Q11" s="62"/>
      <c r="R11" s="62"/>
      <c r="S11" s="62"/>
      <c r="T11" s="62"/>
      <c r="U11" s="62"/>
      <c r="V11" s="62"/>
    </row>
    <row r="12" spans="2:22" x14ac:dyDescent="0.25">
      <c r="B12" s="141" t="s">
        <v>42</v>
      </c>
      <c r="C12" s="100">
        <f>2*134</f>
        <v>268</v>
      </c>
      <c r="D12" s="101">
        <f>2*134*D6</f>
        <v>1340</v>
      </c>
      <c r="E12" s="100">
        <f>2*300</f>
        <v>600</v>
      </c>
      <c r="F12" s="101">
        <f>2*300*5</f>
        <v>3000</v>
      </c>
      <c r="G12" s="7">
        <f>397.28*2</f>
        <v>794.56</v>
      </c>
      <c r="H12" s="51">
        <f>G12*H8</f>
        <v>3972.7999999999997</v>
      </c>
      <c r="I12" s="50">
        <f>440*2</f>
        <v>880</v>
      </c>
      <c r="J12" s="49">
        <f>I12*J8</f>
        <v>4400</v>
      </c>
      <c r="K12" s="51">
        <f>2*5198/K3</f>
        <v>946.76927280178506</v>
      </c>
      <c r="L12" s="49">
        <f>K12*L8</f>
        <v>4733.8463640089249</v>
      </c>
      <c r="N12" s="62"/>
      <c r="O12" s="62"/>
      <c r="P12" s="62"/>
      <c r="Q12" s="62"/>
      <c r="R12" s="62"/>
      <c r="S12" s="62"/>
      <c r="T12" s="62"/>
      <c r="U12" s="62"/>
      <c r="V12" s="62"/>
    </row>
    <row r="13" spans="2:22" x14ac:dyDescent="0.25">
      <c r="B13" s="92" t="s">
        <v>43</v>
      </c>
      <c r="C13" s="88">
        <f>C4*0.056</f>
        <v>5573.4560000000001</v>
      </c>
      <c r="D13" s="82">
        <f>D4*0.056*D6</f>
        <v>27867.279999999999</v>
      </c>
      <c r="E13" s="88">
        <f>0.1*E4</f>
        <v>9952.6</v>
      </c>
      <c r="F13" s="82">
        <f>0.1*F4*F6</f>
        <v>49763</v>
      </c>
      <c r="G13" s="44">
        <f>34000/100*23.86</f>
        <v>8112.4</v>
      </c>
      <c r="H13" s="45">
        <f>G13*H6</f>
        <v>40562</v>
      </c>
      <c r="I13" s="44">
        <f>0.025*I4</f>
        <v>2488.15</v>
      </c>
      <c r="J13" s="43">
        <f>I13*J8</f>
        <v>12440.75</v>
      </c>
      <c r="K13" s="45"/>
      <c r="L13" s="43"/>
      <c r="N13" s="62"/>
      <c r="O13" s="62"/>
      <c r="P13" s="62"/>
      <c r="Q13" s="62"/>
      <c r="R13" s="62"/>
      <c r="S13" s="62"/>
      <c r="T13" s="62"/>
      <c r="U13" s="62"/>
      <c r="V13" s="62"/>
    </row>
    <row r="14" spans="2:22" x14ac:dyDescent="0.25">
      <c r="B14" s="147" t="s">
        <v>44</v>
      </c>
      <c r="C14" s="25">
        <f>2000*1.51</f>
        <v>3020</v>
      </c>
      <c r="D14" s="24">
        <f>2000*1.51*5</f>
        <v>15100</v>
      </c>
      <c r="E14" s="25">
        <f>2000*1.02</f>
        <v>2040</v>
      </c>
      <c r="F14" s="24">
        <f>2000*1.02*5</f>
        <v>10200</v>
      </c>
      <c r="G14" s="16">
        <f>2000*1.53</f>
        <v>3060</v>
      </c>
      <c r="H14" s="103">
        <f>G14*H6</f>
        <v>15300</v>
      </c>
      <c r="I14" s="16">
        <f>2000*1.1*2</f>
        <v>4400</v>
      </c>
      <c r="J14" s="26">
        <f>I14*J8*0.8</f>
        <v>17600</v>
      </c>
      <c r="K14" s="103">
        <f>35.65*2000/K3</f>
        <v>6493.3290833750743</v>
      </c>
      <c r="L14" s="26">
        <f>K14*L8</f>
        <v>32466.64541687537</v>
      </c>
      <c r="N14" s="62"/>
      <c r="O14" s="62"/>
      <c r="P14" s="62"/>
      <c r="Q14" s="62"/>
      <c r="R14" s="62"/>
      <c r="S14" s="62"/>
      <c r="T14" s="62"/>
      <c r="U14" s="62"/>
      <c r="V14" s="62"/>
    </row>
    <row r="15" spans="2:22" x14ac:dyDescent="0.25">
      <c r="B15" s="147" t="s">
        <v>46</v>
      </c>
      <c r="C15" s="25">
        <f>2*3993</f>
        <v>7986</v>
      </c>
      <c r="D15" s="24">
        <f>2*3993*D6</f>
        <v>39930</v>
      </c>
      <c r="E15" s="25">
        <f>2*3390</f>
        <v>6780</v>
      </c>
      <c r="F15" s="24">
        <f>2*3390*5</f>
        <v>33900</v>
      </c>
      <c r="G15" s="16">
        <f>(2980)*2</f>
        <v>5960</v>
      </c>
      <c r="H15" s="103">
        <f>G15*H8</f>
        <v>29800</v>
      </c>
      <c r="I15" s="16"/>
      <c r="J15" s="26"/>
      <c r="K15" s="103">
        <f>(620+18690+(6*5805))/K3*2</f>
        <v>9861.1174354537598</v>
      </c>
      <c r="L15" s="26">
        <f>K15*L8</f>
        <v>49305.587177268797</v>
      </c>
      <c r="N15" s="62"/>
      <c r="O15" s="62"/>
      <c r="P15" s="62"/>
      <c r="Q15" s="62"/>
      <c r="R15" s="62"/>
      <c r="S15" s="62"/>
      <c r="T15" s="62"/>
      <c r="U15" s="62"/>
      <c r="V15" s="62"/>
    </row>
    <row r="16" spans="2:22" x14ac:dyDescent="0.25">
      <c r="B16" s="147" t="s">
        <v>47</v>
      </c>
      <c r="C16" s="25">
        <f>0.12*C4</f>
        <v>11943.119999999999</v>
      </c>
      <c r="D16" s="24">
        <f>C16*3</f>
        <v>35829.360000000001</v>
      </c>
      <c r="E16" s="25">
        <v>12000</v>
      </c>
      <c r="F16" s="24">
        <f>12000*3</f>
        <v>36000</v>
      </c>
      <c r="G16" s="16">
        <v>22250</v>
      </c>
      <c r="H16" s="103">
        <f>G16*H8</f>
        <v>111250</v>
      </c>
      <c r="I16" s="16">
        <f>0.053*I4</f>
        <v>5274.8779999999997</v>
      </c>
      <c r="J16" s="26">
        <f>I16*5</f>
        <v>26374.39</v>
      </c>
      <c r="K16" s="103">
        <f>((48340+145445)/K3)+((2000*2.02)/K3)</f>
        <v>18016.028414006647</v>
      </c>
      <c r="L16" s="26">
        <f>K16*L8</f>
        <v>90080.142070033238</v>
      </c>
      <c r="N16" s="62"/>
      <c r="O16" s="62"/>
      <c r="P16" s="62"/>
      <c r="Q16" s="62"/>
      <c r="R16" s="62"/>
      <c r="S16" s="62"/>
      <c r="T16" s="62"/>
      <c r="U16" s="62"/>
      <c r="V16" s="62"/>
    </row>
    <row r="17" spans="2:22" x14ac:dyDescent="0.25">
      <c r="B17" s="87"/>
      <c r="C17" s="100"/>
      <c r="D17" s="101"/>
      <c r="E17" s="100"/>
      <c r="F17" s="101"/>
      <c r="G17" s="50"/>
      <c r="H17" s="51"/>
      <c r="I17" s="50"/>
      <c r="J17" s="49"/>
      <c r="K17" s="51"/>
      <c r="L17" s="49"/>
      <c r="N17" s="62"/>
      <c r="O17" s="62"/>
      <c r="P17" s="62"/>
      <c r="Q17" s="62"/>
      <c r="R17" s="62"/>
      <c r="S17" s="62"/>
      <c r="T17" s="62"/>
      <c r="U17" s="62"/>
      <c r="V17" s="62"/>
    </row>
    <row r="18" spans="2:22" x14ac:dyDescent="0.25">
      <c r="B18" s="92" t="s">
        <v>52</v>
      </c>
      <c r="C18" s="88">
        <f>SUM(C9:C16)</f>
        <v>78155.471999999994</v>
      </c>
      <c r="D18" s="82">
        <f>SUM(D9:D16)</f>
        <v>278034.30719999998</v>
      </c>
      <c r="E18" s="88">
        <f>SUM(E9:E16)</f>
        <v>53872.6</v>
      </c>
      <c r="F18" s="82">
        <f>SUM(F9:F16)</f>
        <v>191363</v>
      </c>
      <c r="G18" s="88">
        <f>SUM(G9:G16)</f>
        <v>53612.574000000001</v>
      </c>
      <c r="H18" s="81">
        <f>SUM(H9:H16)</f>
        <v>268062.87</v>
      </c>
      <c r="I18" s="88">
        <f>SUM(I9:I16)</f>
        <v>41905.567999999999</v>
      </c>
      <c r="J18" s="82">
        <f>SUM(J9:J16)</f>
        <v>176265.3</v>
      </c>
      <c r="K18" s="81">
        <f>SUM(K9:K16)</f>
        <v>55076.51564136424</v>
      </c>
      <c r="L18" s="82">
        <f>SUM(L9:L16)</f>
        <v>275382.57820682117</v>
      </c>
      <c r="N18" s="62"/>
      <c r="O18" s="62"/>
      <c r="P18" s="62"/>
      <c r="Q18" s="62"/>
      <c r="R18" s="62"/>
      <c r="S18" s="62"/>
      <c r="T18" s="62"/>
      <c r="U18" s="62"/>
      <c r="V18" s="62"/>
    </row>
    <row r="19" spans="2:22" x14ac:dyDescent="0.25">
      <c r="B19" s="93" t="s">
        <v>53</v>
      </c>
      <c r="C19" s="34">
        <f>C18/C6</f>
        <v>78155.471999999994</v>
      </c>
      <c r="D19" s="52">
        <f>D18/D6</f>
        <v>55606.861439999993</v>
      </c>
      <c r="E19" s="34">
        <f>E18/E6</f>
        <v>53872.6</v>
      </c>
      <c r="F19" s="52">
        <f>F18/F6</f>
        <v>38272.6</v>
      </c>
      <c r="G19" s="34">
        <f>G18/G6</f>
        <v>53612.574000000001</v>
      </c>
      <c r="H19" s="36">
        <f>H18/H6</f>
        <v>53612.574000000001</v>
      </c>
      <c r="I19" s="34">
        <f>I18/I6</f>
        <v>41905.567999999999</v>
      </c>
      <c r="J19" s="36">
        <f>J18/J6</f>
        <v>35253.06</v>
      </c>
      <c r="K19" s="34">
        <f>K18/K6</f>
        <v>55076.51564136424</v>
      </c>
      <c r="L19" s="36">
        <f>L18/L6</f>
        <v>55076.515641364233</v>
      </c>
      <c r="N19" s="62"/>
      <c r="O19" s="62"/>
      <c r="P19" s="62"/>
      <c r="Q19" s="62"/>
      <c r="R19" s="62"/>
      <c r="S19" s="62"/>
      <c r="T19" s="62"/>
      <c r="U19" s="62"/>
      <c r="V19" s="62"/>
    </row>
    <row r="20" spans="2:22" x14ac:dyDescent="0.25">
      <c r="B20" s="148" t="s">
        <v>54</v>
      </c>
      <c r="C20" s="100">
        <f>C16/C6</f>
        <v>11943.119999999999</v>
      </c>
      <c r="D20" s="101">
        <f t="shared" ref="D20:L20" si="0">D16/D6</f>
        <v>7165.8720000000003</v>
      </c>
      <c r="E20" s="100">
        <f t="shared" si="0"/>
        <v>12000</v>
      </c>
      <c r="F20" s="101">
        <f t="shared" si="0"/>
        <v>7200</v>
      </c>
      <c r="G20" s="100">
        <f t="shared" si="0"/>
        <v>22250</v>
      </c>
      <c r="H20" s="104">
        <f t="shared" si="0"/>
        <v>22250</v>
      </c>
      <c r="I20" s="100">
        <f t="shared" si="0"/>
        <v>5274.8779999999997</v>
      </c>
      <c r="J20" s="101">
        <f t="shared" si="0"/>
        <v>5274.8779999999997</v>
      </c>
      <c r="K20" s="104">
        <f t="shared" si="0"/>
        <v>18016.028414006647</v>
      </c>
      <c r="L20" s="101">
        <f t="shared" si="0"/>
        <v>18016.028414006647</v>
      </c>
    </row>
  </sheetData>
  <mergeCells count="5">
    <mergeCell ref="K7:L7"/>
    <mergeCell ref="C7:D7"/>
    <mergeCell ref="E7:F7"/>
    <mergeCell ref="G7:H7"/>
    <mergeCell ref="I7:J7"/>
  </mergeCells>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8B351-20DB-448F-A4FD-6662B0189A70}">
  <dimension ref="A1:Y29"/>
  <sheetViews>
    <sheetView zoomScale="115" zoomScaleNormal="115" workbookViewId="0"/>
  </sheetViews>
  <sheetFormatPr defaultRowHeight="15" x14ac:dyDescent="0.25"/>
  <cols>
    <col min="1" max="1" width="14.140625" bestFit="1" customWidth="1"/>
    <col min="2" max="2" width="36.5703125" bestFit="1" customWidth="1"/>
    <col min="3" max="3" width="13" bestFit="1" customWidth="1"/>
    <col min="4" max="4" width="13" customWidth="1"/>
    <col min="5" max="5" width="11.28515625" bestFit="1" customWidth="1"/>
    <col min="6" max="6" width="11.28515625" customWidth="1"/>
    <col min="7" max="10" width="10.7109375" bestFit="1" customWidth="1"/>
    <col min="11" max="12" width="0" hidden="1" customWidth="1"/>
    <col min="13" max="13" width="10.7109375" bestFit="1" customWidth="1"/>
    <col min="14" max="14" width="9.7109375" bestFit="1" customWidth="1"/>
    <col min="15" max="15" width="10.7109375" bestFit="1" customWidth="1"/>
    <col min="16" max="16" width="9.7109375" bestFit="1" customWidth="1"/>
    <col min="17" max="17" width="10.7109375" bestFit="1" customWidth="1"/>
    <col min="18" max="18" width="10.42578125" customWidth="1"/>
    <col min="19" max="19" width="11" customWidth="1"/>
  </cols>
  <sheetData>
    <row r="1" spans="1:25" x14ac:dyDescent="0.25">
      <c r="A1" s="95" t="s">
        <v>11</v>
      </c>
      <c r="D1" t="s">
        <v>63</v>
      </c>
    </row>
    <row r="2" spans="1:25" x14ac:dyDescent="0.25">
      <c r="Q2" t="s">
        <v>18</v>
      </c>
      <c r="R2">
        <v>10.980499999999999</v>
      </c>
      <c r="S2" t="s">
        <v>19</v>
      </c>
    </row>
    <row r="3" spans="1:25" x14ac:dyDescent="0.25">
      <c r="B3" t="s">
        <v>1</v>
      </c>
      <c r="C3" s="96">
        <v>25609</v>
      </c>
      <c r="D3" s="96">
        <v>25609</v>
      </c>
      <c r="E3" s="96">
        <v>25609</v>
      </c>
      <c r="F3" s="96">
        <v>25609</v>
      </c>
      <c r="G3" s="89"/>
      <c r="H3" s="89"/>
      <c r="I3" s="89"/>
      <c r="J3" s="89"/>
      <c r="K3" s="96">
        <v>25609</v>
      </c>
      <c r="L3" s="96"/>
      <c r="M3" s="96">
        <v>25609</v>
      </c>
      <c r="N3" s="96"/>
      <c r="O3" s="96">
        <v>25609</v>
      </c>
      <c r="P3" s="96">
        <v>25609</v>
      </c>
      <c r="Q3" s="96">
        <v>25609</v>
      </c>
      <c r="R3" s="96"/>
      <c r="S3" s="96"/>
    </row>
    <row r="4" spans="1:25" x14ac:dyDescent="0.25">
      <c r="B4" t="s">
        <v>2</v>
      </c>
      <c r="C4" s="89"/>
      <c r="D4" s="89"/>
      <c r="E4" s="89"/>
      <c r="F4" s="89"/>
      <c r="G4" s="96">
        <v>7682</v>
      </c>
      <c r="H4" s="96"/>
      <c r="I4" s="96">
        <v>7682</v>
      </c>
      <c r="J4" s="89"/>
      <c r="K4" s="89"/>
      <c r="L4" s="89"/>
      <c r="M4" s="89"/>
      <c r="N4" s="89"/>
      <c r="O4" s="89"/>
      <c r="P4" s="89"/>
      <c r="Q4" s="96">
        <v>7682</v>
      </c>
      <c r="R4" s="96"/>
      <c r="S4" s="96"/>
    </row>
    <row r="5" spans="1:25" x14ac:dyDescent="0.25">
      <c r="B5" t="s">
        <v>48</v>
      </c>
      <c r="C5" s="89"/>
      <c r="D5" s="89"/>
      <c r="E5" s="89"/>
      <c r="F5" s="89"/>
      <c r="G5" s="89"/>
      <c r="H5" s="89"/>
      <c r="I5" s="89"/>
      <c r="J5" s="89"/>
      <c r="K5" s="89"/>
      <c r="L5" s="89"/>
      <c r="M5" s="89"/>
      <c r="N5" s="89"/>
      <c r="O5" s="89"/>
      <c r="P5" s="89"/>
      <c r="Q5" s="89">
        <v>187.06</v>
      </c>
      <c r="R5" s="89"/>
      <c r="S5" s="89"/>
    </row>
    <row r="6" spans="1:25" x14ac:dyDescent="0.25">
      <c r="C6" s="149" t="s">
        <v>0</v>
      </c>
      <c r="D6" s="150"/>
      <c r="E6" s="149" t="s">
        <v>5</v>
      </c>
      <c r="F6" s="150"/>
      <c r="G6" s="149" t="s">
        <v>12</v>
      </c>
      <c r="H6" s="150"/>
      <c r="I6" s="149" t="s">
        <v>24</v>
      </c>
      <c r="J6" s="150"/>
      <c r="K6" s="151" t="s">
        <v>16</v>
      </c>
      <c r="L6" s="151"/>
      <c r="M6" s="149" t="s">
        <v>36</v>
      </c>
      <c r="N6" s="150"/>
      <c r="O6" s="149" t="s">
        <v>17</v>
      </c>
      <c r="P6" s="150"/>
      <c r="Q6" s="149" t="s">
        <v>57</v>
      </c>
      <c r="R6" s="150"/>
      <c r="S6" s="105"/>
      <c r="T6" s="2"/>
    </row>
    <row r="7" spans="1:25" x14ac:dyDescent="0.25">
      <c r="B7" s="145" t="s">
        <v>51</v>
      </c>
      <c r="C7" s="169">
        <v>1</v>
      </c>
      <c r="D7" s="170">
        <v>52</v>
      </c>
      <c r="E7" s="169">
        <v>1</v>
      </c>
      <c r="F7" s="170">
        <v>52</v>
      </c>
      <c r="G7" s="169">
        <v>1</v>
      </c>
      <c r="H7" s="170">
        <v>52</v>
      </c>
      <c r="I7" s="169">
        <v>1</v>
      </c>
      <c r="J7" s="170">
        <v>52</v>
      </c>
      <c r="K7" s="171">
        <v>1</v>
      </c>
      <c r="L7" s="171">
        <v>52</v>
      </c>
      <c r="M7" s="169">
        <v>1</v>
      </c>
      <c r="N7" s="170">
        <v>52</v>
      </c>
      <c r="O7" s="169">
        <v>1</v>
      </c>
      <c r="P7" s="170">
        <v>52</v>
      </c>
      <c r="Q7" s="169">
        <v>1</v>
      </c>
      <c r="R7" s="170">
        <v>52</v>
      </c>
      <c r="S7" s="96"/>
      <c r="T7" s="3"/>
      <c r="U7" s="1"/>
    </row>
    <row r="8" spans="1:25" hidden="1" x14ac:dyDescent="0.25">
      <c r="B8" s="146"/>
      <c r="C8" s="169" t="s">
        <v>3</v>
      </c>
      <c r="D8" s="170"/>
      <c r="E8" s="169" t="s">
        <v>5</v>
      </c>
      <c r="F8" s="170"/>
      <c r="G8" s="172" t="s">
        <v>12</v>
      </c>
      <c r="H8" s="173"/>
      <c r="I8" s="169"/>
      <c r="J8" s="170"/>
      <c r="K8" s="171" t="s">
        <v>16</v>
      </c>
      <c r="L8" s="171"/>
      <c r="M8" s="169" t="s">
        <v>22</v>
      </c>
      <c r="N8" s="170"/>
      <c r="O8" s="169" t="s">
        <v>17</v>
      </c>
      <c r="P8" s="170"/>
      <c r="Q8" s="169" t="s">
        <v>23</v>
      </c>
      <c r="R8" s="170"/>
      <c r="S8" s="89"/>
    </row>
    <row r="9" spans="1:25" x14ac:dyDescent="0.25">
      <c r="B9" s="147" t="s">
        <v>39</v>
      </c>
      <c r="C9" s="174">
        <f>0.225*C3</f>
        <v>5762.0250000000005</v>
      </c>
      <c r="D9" s="175">
        <f>C9*0.85*D7</f>
        <v>254681.50500000003</v>
      </c>
      <c r="E9" s="174">
        <f>0.225*E3</f>
        <v>5762.0250000000005</v>
      </c>
      <c r="F9" s="175">
        <f>(E9*0.8*20)+(E9*0.7*20)+(E9*5*0.5)</f>
        <v>187265.81250000003</v>
      </c>
      <c r="G9" s="174">
        <f>G4/100*40.6</f>
        <v>3118.8919999999998</v>
      </c>
      <c r="H9" s="175">
        <f>G9*52*0.96</f>
        <v>155695.08863999997</v>
      </c>
      <c r="I9" s="40">
        <f>I4*0.59</f>
        <v>4532.38</v>
      </c>
      <c r="J9" s="41">
        <f>I9*J7</f>
        <v>235683.76</v>
      </c>
      <c r="K9" s="84"/>
      <c r="L9" s="84"/>
      <c r="M9" s="40"/>
      <c r="N9" s="41"/>
      <c r="O9" s="174">
        <f>(O3*0.0071)+(150*2*2)</f>
        <v>781.82389999999998</v>
      </c>
      <c r="P9" s="175">
        <f>((P3*0.0071)+(150*2*2))*P7</f>
        <v>40654.842799999999</v>
      </c>
      <c r="Q9" s="174">
        <f>Q3*4.28/R2</f>
        <v>9981.9243203861406</v>
      </c>
      <c r="R9" s="175">
        <f>Q9*52</f>
        <v>519060.06466007931</v>
      </c>
      <c r="S9" s="67"/>
      <c r="T9" s="60"/>
    </row>
    <row r="10" spans="1:25" x14ac:dyDescent="0.25">
      <c r="B10" s="147" t="s">
        <v>40</v>
      </c>
      <c r="C10" s="40"/>
      <c r="D10" s="41"/>
      <c r="E10" s="40"/>
      <c r="F10" s="41"/>
      <c r="G10" s="40"/>
      <c r="H10" s="41"/>
      <c r="I10" s="40"/>
      <c r="J10" s="41"/>
      <c r="K10" s="176">
        <f>0.204*K3*2</f>
        <v>10448.472</v>
      </c>
      <c r="L10" s="176">
        <f>(K10*11)+(K10*9*0.9)+(K10*30*0.8)+(K10*2*0.6)</f>
        <v>462867.30959999998</v>
      </c>
      <c r="M10" s="174">
        <f>0.204*M3*2</f>
        <v>10448.472</v>
      </c>
      <c r="N10" s="175">
        <f>M10*N7*0.6</f>
        <v>325992.32639999996</v>
      </c>
      <c r="O10" s="174">
        <f>O3*0.35*2</f>
        <v>17926.3</v>
      </c>
      <c r="P10" s="175">
        <v>0</v>
      </c>
      <c r="Q10" s="40"/>
      <c r="R10" s="41"/>
      <c r="S10" s="67"/>
      <c r="T10" s="60"/>
    </row>
    <row r="11" spans="1:25" x14ac:dyDescent="0.25">
      <c r="B11" s="147" t="s">
        <v>41</v>
      </c>
      <c r="C11" s="40"/>
      <c r="D11" s="41"/>
      <c r="E11" s="40"/>
      <c r="F11" s="41"/>
      <c r="G11" s="40"/>
      <c r="H11" s="41"/>
      <c r="I11" s="40"/>
      <c r="J11" s="41"/>
      <c r="K11" s="176">
        <f>0.09*K3</f>
        <v>2304.81</v>
      </c>
      <c r="L11" s="176">
        <f>(K11*11)+(K11*9*0.9)+(K11*30*0.8)+(K11*2*0.6)</f>
        <v>102103.083</v>
      </c>
      <c r="M11" s="174">
        <f>0.09*M3</f>
        <v>2304.81</v>
      </c>
      <c r="N11" s="175">
        <f>M11*N7*0.6</f>
        <v>71910.072</v>
      </c>
      <c r="O11" s="174">
        <f>0.1*O3</f>
        <v>2560.9</v>
      </c>
      <c r="P11" s="175">
        <v>0</v>
      </c>
      <c r="Q11" s="40"/>
      <c r="R11" s="41"/>
      <c r="S11" s="67"/>
      <c r="T11" s="62"/>
      <c r="U11" s="89"/>
      <c r="V11" s="89"/>
      <c r="W11" s="89"/>
      <c r="X11" s="89"/>
      <c r="Y11" s="89"/>
    </row>
    <row r="12" spans="1:25" x14ac:dyDescent="0.25">
      <c r="A12" s="89"/>
      <c r="B12" s="147" t="s">
        <v>42</v>
      </c>
      <c r="C12" s="174">
        <f>114*2</f>
        <v>228</v>
      </c>
      <c r="D12" s="175">
        <f>C12*D7</f>
        <v>11856</v>
      </c>
      <c r="E12" s="174">
        <f>2*400</f>
        <v>800</v>
      </c>
      <c r="F12" s="175">
        <f>E12*F7</f>
        <v>41600</v>
      </c>
      <c r="G12" s="174">
        <f>2*397.28</f>
        <v>794.56</v>
      </c>
      <c r="H12" s="175">
        <f>G12*H7</f>
        <v>41317.119999999995</v>
      </c>
      <c r="I12" s="40"/>
      <c r="J12" s="41"/>
      <c r="K12" s="176">
        <f>2*375</f>
        <v>750</v>
      </c>
      <c r="L12" s="176">
        <f>K12*L7</f>
        <v>39000</v>
      </c>
      <c r="M12" s="174">
        <f>2*375</f>
        <v>750</v>
      </c>
      <c r="N12" s="175">
        <f>M12*N7</f>
        <v>39000</v>
      </c>
      <c r="O12" s="174">
        <f>2*320</f>
        <v>640</v>
      </c>
      <c r="P12" s="175">
        <f>O12*P7*0.5</f>
        <v>16640</v>
      </c>
      <c r="Q12" s="174">
        <f>5198*2/R2</f>
        <v>946.76927280178506</v>
      </c>
      <c r="R12" s="175">
        <f>Q12*R7</f>
        <v>49232.002185692822</v>
      </c>
      <c r="S12" s="67"/>
      <c r="T12" s="62"/>
      <c r="U12" s="89"/>
      <c r="V12" s="89"/>
      <c r="W12" s="89"/>
      <c r="X12" s="89"/>
      <c r="Y12" s="89"/>
    </row>
    <row r="13" spans="1:25" x14ac:dyDescent="0.25">
      <c r="A13" s="42" t="s">
        <v>43</v>
      </c>
      <c r="B13" s="85" t="s">
        <v>59</v>
      </c>
      <c r="C13" s="177">
        <f>0.018*C3</f>
        <v>460.96199999999999</v>
      </c>
      <c r="D13" s="178">
        <f>C13*D7</f>
        <v>23970.023999999998</v>
      </c>
      <c r="E13" s="177">
        <f>0.017*E3</f>
        <v>435.35300000000001</v>
      </c>
      <c r="F13" s="178">
        <f>E13*F7</f>
        <v>22638.356</v>
      </c>
      <c r="G13" s="177">
        <f>G4/100*13.6</f>
        <v>1044.752</v>
      </c>
      <c r="H13" s="178">
        <f>G13*H7</f>
        <v>54327.103999999999</v>
      </c>
      <c r="I13" s="31"/>
      <c r="J13" s="33"/>
      <c r="K13" s="32"/>
      <c r="L13" s="32"/>
      <c r="M13" s="31"/>
      <c r="N13" s="33"/>
      <c r="O13" s="31"/>
      <c r="P13" s="33"/>
      <c r="Q13" s="31"/>
      <c r="R13" s="33"/>
      <c r="S13" s="67"/>
      <c r="T13" s="62"/>
      <c r="U13" s="89"/>
      <c r="V13" s="89"/>
      <c r="W13" s="89"/>
      <c r="X13" s="89"/>
      <c r="Y13" s="89"/>
    </row>
    <row r="14" spans="1:25" x14ac:dyDescent="0.25">
      <c r="A14" s="89"/>
      <c r="B14" s="146" t="s">
        <v>58</v>
      </c>
      <c r="C14" s="40"/>
      <c r="D14" s="41"/>
      <c r="E14" s="40"/>
      <c r="F14" s="41"/>
      <c r="G14" s="40"/>
      <c r="H14" s="41"/>
      <c r="I14" s="40"/>
      <c r="J14" s="41"/>
      <c r="K14" s="176">
        <f>0.062*K3</f>
        <v>1587.758</v>
      </c>
      <c r="L14" s="176">
        <f>K14*L7</f>
        <v>82563.415999999997</v>
      </c>
      <c r="M14" s="174">
        <f>0.062*M3</f>
        <v>1587.758</v>
      </c>
      <c r="N14" s="175">
        <f>M14*N7</f>
        <v>82563.415999999997</v>
      </c>
      <c r="O14" s="174">
        <f>O3*0.012</f>
        <v>307.30799999999999</v>
      </c>
      <c r="P14" s="175">
        <f>O14*P7</f>
        <v>15980.016</v>
      </c>
      <c r="Q14" s="40"/>
      <c r="R14" s="41"/>
      <c r="S14" s="67"/>
      <c r="T14" s="62"/>
      <c r="U14" s="89"/>
      <c r="V14" s="89"/>
      <c r="W14" s="89"/>
      <c r="X14" s="89"/>
      <c r="Y14" s="89"/>
    </row>
    <row r="15" spans="1:25" x14ac:dyDescent="0.25">
      <c r="A15" s="89"/>
      <c r="B15" s="146" t="s">
        <v>60</v>
      </c>
      <c r="C15" s="40"/>
      <c r="D15" s="41"/>
      <c r="E15" s="40"/>
      <c r="F15" s="41"/>
      <c r="G15" s="40"/>
      <c r="H15" s="41"/>
      <c r="I15" s="40">
        <v>131</v>
      </c>
      <c r="J15" s="41">
        <f>I15*J7</f>
        <v>6812</v>
      </c>
      <c r="K15" s="84"/>
      <c r="L15" s="84"/>
      <c r="M15" s="40"/>
      <c r="N15" s="41"/>
      <c r="O15" s="40"/>
      <c r="P15" s="41"/>
      <c r="Q15" s="40"/>
      <c r="R15" s="41"/>
      <c r="S15" s="67"/>
      <c r="T15" s="62"/>
      <c r="U15" s="89"/>
      <c r="V15" s="89"/>
      <c r="W15" s="89"/>
      <c r="X15" s="89"/>
      <c r="Y15" s="89"/>
    </row>
    <row r="16" spans="1:25" x14ac:dyDescent="0.25">
      <c r="A16" s="89"/>
      <c r="B16" s="146" t="s">
        <v>61</v>
      </c>
      <c r="C16" s="40"/>
      <c r="D16" s="41"/>
      <c r="E16" s="40"/>
      <c r="F16" s="41"/>
      <c r="G16" s="40"/>
      <c r="H16" s="41"/>
      <c r="I16" s="40">
        <f>I4*0.19</f>
        <v>1459.58</v>
      </c>
      <c r="J16" s="41">
        <f>I16*J7</f>
        <v>75898.16</v>
      </c>
      <c r="K16" s="84"/>
      <c r="L16" s="84"/>
      <c r="M16" s="40"/>
      <c r="N16" s="41"/>
      <c r="O16" s="40"/>
      <c r="P16" s="41"/>
      <c r="Q16" s="40"/>
      <c r="R16" s="41"/>
      <c r="S16" s="67"/>
      <c r="T16" s="62"/>
      <c r="U16" s="89"/>
      <c r="V16" s="89"/>
      <c r="W16" s="89"/>
      <c r="X16" s="89"/>
      <c r="Y16" s="89"/>
    </row>
    <row r="17" spans="1:25" x14ac:dyDescent="0.25">
      <c r="A17" s="1"/>
      <c r="B17" s="87" t="s">
        <v>62</v>
      </c>
      <c r="C17" s="46"/>
      <c r="D17" s="48"/>
      <c r="E17" s="46"/>
      <c r="F17" s="48"/>
      <c r="G17" s="46"/>
      <c r="H17" s="48"/>
      <c r="I17" s="46">
        <f>0.02*I4</f>
        <v>153.64000000000001</v>
      </c>
      <c r="J17" s="48">
        <f>I17*J7</f>
        <v>7989.2800000000007</v>
      </c>
      <c r="K17" s="47"/>
      <c r="L17" s="47"/>
      <c r="M17" s="46"/>
      <c r="N17" s="48"/>
      <c r="O17" s="46"/>
      <c r="P17" s="48"/>
      <c r="Q17" s="46"/>
      <c r="R17" s="48"/>
      <c r="S17" s="67"/>
      <c r="T17" s="62"/>
      <c r="U17" s="89"/>
      <c r="V17" s="89"/>
      <c r="W17" s="89"/>
      <c r="X17" s="89"/>
      <c r="Y17" s="89"/>
    </row>
    <row r="18" spans="1:25" x14ac:dyDescent="0.25">
      <c r="A18" s="89"/>
      <c r="B18" s="147" t="s">
        <v>45</v>
      </c>
      <c r="C18" s="40">
        <f>150*4.5</f>
        <v>675</v>
      </c>
      <c r="D18" s="41">
        <f>C18*D7</f>
        <v>35100</v>
      </c>
      <c r="E18" s="40"/>
      <c r="F18" s="41"/>
      <c r="G18" s="179">
        <f>((150*15*3.22)-120)*2</f>
        <v>14250</v>
      </c>
      <c r="H18" s="180">
        <f>G18*H7</f>
        <v>741000</v>
      </c>
      <c r="I18" s="179">
        <f>150*48.5*2</f>
        <v>14550</v>
      </c>
      <c r="J18" s="180">
        <f>I18*J7</f>
        <v>756600</v>
      </c>
      <c r="K18" s="84"/>
      <c r="L18" s="84"/>
      <c r="M18" s="40"/>
      <c r="N18" s="41"/>
      <c r="O18" s="40"/>
      <c r="P18" s="41"/>
      <c r="Q18" s="40">
        <f>((12*21.44*16.5)+(138*13.6*21.44))/R2*2</f>
        <v>8102.3108237329834</v>
      </c>
      <c r="R18" s="41">
        <f>Q18*R7</f>
        <v>421320.16283411515</v>
      </c>
      <c r="S18" s="67"/>
      <c r="T18" s="62"/>
      <c r="U18" s="89"/>
      <c r="V18" s="89"/>
      <c r="W18" s="89"/>
      <c r="X18" s="89"/>
      <c r="Y18" s="89"/>
    </row>
    <row r="19" spans="1:25" x14ac:dyDescent="0.25">
      <c r="B19" s="147" t="s">
        <v>46</v>
      </c>
      <c r="C19" s="174">
        <f>2*1996</f>
        <v>3992</v>
      </c>
      <c r="D19" s="175">
        <f>C19*D7</f>
        <v>207584</v>
      </c>
      <c r="E19" s="174">
        <f>1724*2</f>
        <v>3448</v>
      </c>
      <c r="F19" s="175">
        <f>E19*F7</f>
        <v>179296</v>
      </c>
      <c r="G19" s="174">
        <f>2*1380</f>
        <v>2760</v>
      </c>
      <c r="H19" s="175">
        <f>G19*H7</f>
        <v>143520</v>
      </c>
      <c r="I19" s="174">
        <f>2*1866</f>
        <v>3732</v>
      </c>
      <c r="J19" s="175">
        <f>I19*J7</f>
        <v>194064</v>
      </c>
      <c r="K19" s="84"/>
      <c r="L19" s="84"/>
      <c r="M19" s="40"/>
      <c r="N19" s="41"/>
      <c r="O19" s="174">
        <f>0.11*O3*2</f>
        <v>5633.9800000000005</v>
      </c>
      <c r="P19" s="175">
        <f>O19*P7</f>
        <v>292966.96000000002</v>
      </c>
      <c r="Q19" s="40">
        <f>(620+10090+(3*3150))*2/R2</f>
        <v>3671.9639360684855</v>
      </c>
      <c r="R19" s="41">
        <f>Q19*52</f>
        <v>190942.12467556124</v>
      </c>
      <c r="S19" s="67"/>
      <c r="T19" s="62"/>
      <c r="U19" s="89"/>
      <c r="V19" s="89"/>
      <c r="W19" s="89"/>
      <c r="X19" s="89"/>
      <c r="Y19" s="89"/>
    </row>
    <row r="20" spans="1:25" x14ac:dyDescent="0.25">
      <c r="B20" s="147" t="s">
        <v>47</v>
      </c>
      <c r="C20" s="174">
        <f>0.3*C3</f>
        <v>7682.7</v>
      </c>
      <c r="D20" s="175">
        <f>C20*10</f>
        <v>76827</v>
      </c>
      <c r="E20" s="174">
        <f>0.3*E3</f>
        <v>7682.7</v>
      </c>
      <c r="F20" s="175">
        <f>E20*10</f>
        <v>76827</v>
      </c>
      <c r="G20" s="174">
        <f>G4*1.098</f>
        <v>8434.8360000000011</v>
      </c>
      <c r="H20" s="175">
        <f>G20*10</f>
        <v>84348.360000000015</v>
      </c>
      <c r="I20" s="174">
        <f>1.098*I4</f>
        <v>8434.8360000000011</v>
      </c>
      <c r="J20" s="175">
        <f>I20*10</f>
        <v>84348.360000000015</v>
      </c>
      <c r="K20" s="84"/>
      <c r="L20" s="84"/>
      <c r="M20" s="40">
        <f>0.06*M3</f>
        <v>1536.54</v>
      </c>
      <c r="N20" s="41">
        <f>M20*10</f>
        <v>15365.4</v>
      </c>
      <c r="O20" s="40">
        <f>0.06*O3</f>
        <v>1536.54</v>
      </c>
      <c r="P20" s="41">
        <f>O20*10</f>
        <v>15365.4</v>
      </c>
      <c r="Q20" s="40">
        <f>((19350+58205)/R2)+((150*10*2*2.68)/R2)</f>
        <v>7795.182368744594</v>
      </c>
      <c r="R20" s="41">
        <f>((((19350+58205)/R2)*24)+(((19350+58205)/R2)*12*0.75)+(((19350+58205)/R2)*12*0.5)+(((19350+58205)/R2)*4*0.25))+((150*10*2*2.68)*52/R2)</f>
        <v>320593.77988251898</v>
      </c>
      <c r="S20" s="67"/>
      <c r="T20" s="60"/>
    </row>
    <row r="21" spans="1:25" x14ac:dyDescent="0.25">
      <c r="B21" s="146"/>
      <c r="C21" s="40"/>
      <c r="D21" s="41"/>
      <c r="E21" s="40"/>
      <c r="F21" s="41"/>
      <c r="G21" s="40"/>
      <c r="H21" s="41"/>
      <c r="I21" s="40"/>
      <c r="J21" s="41"/>
      <c r="K21" s="84"/>
      <c r="L21" s="84"/>
      <c r="M21" s="40"/>
      <c r="N21" s="41"/>
      <c r="O21" s="40"/>
      <c r="P21" s="41"/>
      <c r="Q21" s="40"/>
      <c r="R21" s="41"/>
      <c r="S21" s="67"/>
      <c r="T21" s="60"/>
    </row>
    <row r="22" spans="1:25" x14ac:dyDescent="0.25">
      <c r="B22" s="155" t="s">
        <v>52</v>
      </c>
      <c r="C22" s="152">
        <f>SUM(C9:C21)</f>
        <v>18800.687000000002</v>
      </c>
      <c r="D22" s="153">
        <f>SUM(D9:D21)</f>
        <v>610018.52899999998</v>
      </c>
      <c r="E22" s="152">
        <f>SUM(E9:E21)</f>
        <v>18128.078000000001</v>
      </c>
      <c r="F22" s="153">
        <f>SUM(F9:F21)</f>
        <v>507627.16850000003</v>
      </c>
      <c r="G22" s="152">
        <f>SUM(G9:G20)</f>
        <v>30403.040000000001</v>
      </c>
      <c r="H22" s="153">
        <f>SUM(H9:H20)</f>
        <v>1220207.67264</v>
      </c>
      <c r="I22" s="152">
        <f>SUM(I9:I20)</f>
        <v>32993.436000000002</v>
      </c>
      <c r="J22" s="153">
        <f>SUM(J9:J21)</f>
        <v>1361395.5600000003</v>
      </c>
      <c r="K22" s="154">
        <f>SUM(K9:K20)</f>
        <v>15091.039999999999</v>
      </c>
      <c r="L22" s="154">
        <f>SUM(L9:L21)</f>
        <v>686533.80859999999</v>
      </c>
      <c r="M22" s="152">
        <f>SUM(M9:M20)</f>
        <v>16627.579999999998</v>
      </c>
      <c r="N22" s="153">
        <f>SUM(N9:N21)</f>
        <v>534831.21439999994</v>
      </c>
      <c r="O22" s="152">
        <f>SUM(O9:O20)</f>
        <v>29386.851900000001</v>
      </c>
      <c r="P22" s="153">
        <f>SUM(P9:P21)</f>
        <v>381607.21880000003</v>
      </c>
      <c r="Q22" s="152">
        <f>SUM(Q9:Q20)</f>
        <v>30498.150721733986</v>
      </c>
      <c r="R22" s="153">
        <f>SUM(R9:R21)</f>
        <v>1501148.1342379674</v>
      </c>
      <c r="S22" s="107"/>
      <c r="T22" s="60"/>
    </row>
    <row r="23" spans="1:25" x14ac:dyDescent="0.25">
      <c r="B23" s="156" t="s">
        <v>53</v>
      </c>
      <c r="C23" s="109">
        <f>C22/C7</f>
        <v>18800.687000000002</v>
      </c>
      <c r="D23" s="110">
        <f>D22/D7</f>
        <v>11731.125557692307</v>
      </c>
      <c r="E23" s="109">
        <f>E22/E7</f>
        <v>18128.078000000001</v>
      </c>
      <c r="F23" s="110">
        <f>F22/F7</f>
        <v>9762.0609326923077</v>
      </c>
      <c r="G23" s="109">
        <f>G22/G7</f>
        <v>30403.040000000001</v>
      </c>
      <c r="H23" s="110">
        <f>H22/H7</f>
        <v>23465.532166153847</v>
      </c>
      <c r="I23" s="109">
        <f>I22/I7</f>
        <v>32993.436000000002</v>
      </c>
      <c r="J23" s="110">
        <f>J22/J7</f>
        <v>26180.68384615385</v>
      </c>
      <c r="K23" s="106">
        <f>K22/K7</f>
        <v>15091.039999999999</v>
      </c>
      <c r="L23" s="106">
        <f>L22/L7</f>
        <v>13202.573242307692</v>
      </c>
      <c r="M23" s="109">
        <f>M22/M7</f>
        <v>16627.579999999998</v>
      </c>
      <c r="N23" s="110">
        <f>N22/N7</f>
        <v>10285.215661538461</v>
      </c>
      <c r="O23" s="109">
        <f>O22/O7</f>
        <v>29386.851900000001</v>
      </c>
      <c r="P23" s="110">
        <f>P22/P7</f>
        <v>7338.6003615384625</v>
      </c>
      <c r="Q23" s="157">
        <f>Q22/Q7</f>
        <v>30498.150721733986</v>
      </c>
      <c r="R23" s="158">
        <f>R22/R7</f>
        <v>28868.233350730145</v>
      </c>
      <c r="S23" s="108"/>
      <c r="T23" s="60"/>
    </row>
    <row r="24" spans="1:25" x14ac:dyDescent="0.25">
      <c r="B24" s="159" t="s">
        <v>54</v>
      </c>
      <c r="C24" s="100">
        <f>C20/C7</f>
        <v>7682.7</v>
      </c>
      <c r="D24" s="101">
        <f>D20/D7</f>
        <v>1477.4423076923076</v>
      </c>
      <c r="E24" s="100">
        <f t="shared" ref="E24:F24" si="0">E20/E7</f>
        <v>7682.7</v>
      </c>
      <c r="F24" s="101">
        <f t="shared" si="0"/>
        <v>1477.4423076923076</v>
      </c>
      <c r="G24" s="100">
        <f>G20/G7</f>
        <v>8434.8360000000011</v>
      </c>
      <c r="H24" s="101">
        <f>H20/H7</f>
        <v>1622.0838461538465</v>
      </c>
      <c r="I24" s="100">
        <f>I20/I7</f>
        <v>8434.8360000000011</v>
      </c>
      <c r="J24" s="101">
        <f>J20/J7</f>
        <v>1622.0838461538465</v>
      </c>
      <c r="K24" s="104">
        <f>K20/K7</f>
        <v>0</v>
      </c>
      <c r="L24" s="104">
        <f>L20/L7</f>
        <v>0</v>
      </c>
      <c r="M24" s="100">
        <f>M20/M7</f>
        <v>1536.54</v>
      </c>
      <c r="N24" s="101">
        <f>N20/N7</f>
        <v>295.48846153846154</v>
      </c>
      <c r="O24" s="100">
        <f>O20/O7</f>
        <v>1536.54</v>
      </c>
      <c r="P24" s="101">
        <f>P20/P7</f>
        <v>295.48846153846154</v>
      </c>
      <c r="Q24" s="100">
        <f>Q20/Q7</f>
        <v>7795.182368744594</v>
      </c>
      <c r="R24" s="101">
        <f>R20/R7</f>
        <v>6165.26499774075</v>
      </c>
      <c r="S24" s="62"/>
      <c r="T24" s="60"/>
    </row>
    <row r="25" spans="1:25" x14ac:dyDescent="0.25">
      <c r="S25" s="60"/>
      <c r="T25" s="60"/>
    </row>
    <row r="26" spans="1:25" x14ac:dyDescent="0.25">
      <c r="S26" s="60"/>
      <c r="T26" s="60"/>
    </row>
    <row r="27" spans="1:25" x14ac:dyDescent="0.25">
      <c r="S27" s="60"/>
      <c r="T27" s="60"/>
    </row>
    <row r="28" spans="1:25" x14ac:dyDescent="0.25">
      <c r="S28" s="60"/>
      <c r="T28" s="60"/>
    </row>
    <row r="29" spans="1:25" x14ac:dyDescent="0.25">
      <c r="S29" s="60"/>
      <c r="T29" s="60"/>
    </row>
  </sheetData>
  <mergeCells count="8">
    <mergeCell ref="M6:N6"/>
    <mergeCell ref="O6:P6"/>
    <mergeCell ref="C6:D6"/>
    <mergeCell ref="E6:F6"/>
    <mergeCell ref="Q6:R6"/>
    <mergeCell ref="G6:H6"/>
    <mergeCell ref="I6:J6"/>
    <mergeCell ref="K6:L6"/>
  </mergeCells>
  <pageMargins left="0.7" right="0.7" top="0.75" bottom="0.75" header="0.3" footer="0.3"/>
  <pageSetup paperSize="9" orientation="portrait" horizontalDpi="4294967295" verticalDpi="4294967295"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8F5A1-94B5-4564-8EB5-6AE248B3DC66}">
  <dimension ref="A2:AA25"/>
  <sheetViews>
    <sheetView zoomScale="110" zoomScaleNormal="110" workbookViewId="0">
      <selection activeCell="B2" sqref="B2"/>
    </sheetView>
  </sheetViews>
  <sheetFormatPr defaultRowHeight="15" x14ac:dyDescent="0.25"/>
  <cols>
    <col min="1" max="1" width="26.7109375" bestFit="1" customWidth="1"/>
    <col min="2" max="2" width="36.5703125" bestFit="1" customWidth="1"/>
    <col min="3" max="3" width="13" bestFit="1" customWidth="1"/>
    <col min="4" max="4" width="13" customWidth="1"/>
    <col min="5" max="7" width="11.28515625" bestFit="1" customWidth="1"/>
    <col min="8" max="8" width="10.5703125" bestFit="1" customWidth="1"/>
    <col min="9" max="10" width="11.28515625" bestFit="1" customWidth="1"/>
    <col min="11" max="11" width="11" customWidth="1"/>
    <col min="12" max="12" width="10.140625" customWidth="1"/>
    <col min="13" max="13" width="10.42578125" customWidth="1"/>
    <col min="14" max="14" width="11.140625" customWidth="1"/>
    <col min="15" max="15" width="9.5703125" customWidth="1"/>
    <col min="16" max="16" width="11.28515625" customWidth="1"/>
    <col min="17" max="17" width="12.140625" customWidth="1"/>
    <col min="20" max="20" width="11.7109375" customWidth="1"/>
    <col min="21" max="27" width="9.140625" style="89"/>
  </cols>
  <sheetData>
    <row r="2" spans="1:20" x14ac:dyDescent="0.25">
      <c r="B2" s="113" t="s">
        <v>64</v>
      </c>
    </row>
    <row r="3" spans="1:20" x14ac:dyDescent="0.25">
      <c r="C3" s="8"/>
      <c r="R3" t="s">
        <v>18</v>
      </c>
      <c r="S3">
        <v>10.980499999999999</v>
      </c>
    </row>
    <row r="4" spans="1:20" x14ac:dyDescent="0.25">
      <c r="B4" t="s">
        <v>1</v>
      </c>
      <c r="C4">
        <v>16023</v>
      </c>
      <c r="D4">
        <v>16023</v>
      </c>
      <c r="E4">
        <v>16023</v>
      </c>
      <c r="F4">
        <v>16023</v>
      </c>
      <c r="G4">
        <v>16023</v>
      </c>
      <c r="H4">
        <v>16023</v>
      </c>
      <c r="I4">
        <v>16023</v>
      </c>
      <c r="J4">
        <v>16023</v>
      </c>
      <c r="K4">
        <v>16023</v>
      </c>
      <c r="L4">
        <v>16023</v>
      </c>
      <c r="M4">
        <v>16023</v>
      </c>
      <c r="N4">
        <v>16023</v>
      </c>
      <c r="O4">
        <v>16023</v>
      </c>
      <c r="P4">
        <v>16023</v>
      </c>
      <c r="Q4">
        <v>16023</v>
      </c>
      <c r="R4">
        <v>16023</v>
      </c>
      <c r="S4">
        <v>16023</v>
      </c>
      <c r="T4">
        <v>16023</v>
      </c>
    </row>
    <row r="5" spans="1:20" x14ac:dyDescent="0.25">
      <c r="B5" t="s">
        <v>2</v>
      </c>
      <c r="L5" s="2">
        <v>6251</v>
      </c>
      <c r="M5" s="2">
        <v>6251</v>
      </c>
      <c r="N5" s="2">
        <v>6251</v>
      </c>
      <c r="O5" s="2">
        <v>6251</v>
      </c>
      <c r="P5" s="2">
        <v>6251</v>
      </c>
      <c r="Q5" s="2">
        <v>6251</v>
      </c>
      <c r="R5">
        <v>6251</v>
      </c>
      <c r="S5">
        <v>6251</v>
      </c>
      <c r="T5">
        <v>6251</v>
      </c>
    </row>
    <row r="6" spans="1:20" x14ac:dyDescent="0.25">
      <c r="B6" s="145" t="s">
        <v>51</v>
      </c>
      <c r="C6" s="114">
        <v>1</v>
      </c>
      <c r="D6" s="115">
        <v>25</v>
      </c>
      <c r="E6" s="116">
        <v>52</v>
      </c>
      <c r="F6" s="114">
        <v>1</v>
      </c>
      <c r="G6" s="115">
        <v>25</v>
      </c>
      <c r="H6" s="116">
        <v>52</v>
      </c>
      <c r="I6" s="114">
        <v>1</v>
      </c>
      <c r="J6" s="115">
        <v>25</v>
      </c>
      <c r="K6" s="115">
        <v>52</v>
      </c>
      <c r="L6" s="114">
        <v>1</v>
      </c>
      <c r="M6" s="115">
        <v>25</v>
      </c>
      <c r="N6" s="116">
        <v>52</v>
      </c>
      <c r="O6" s="114">
        <v>1</v>
      </c>
      <c r="P6" s="115">
        <v>25</v>
      </c>
      <c r="Q6" s="116">
        <v>52</v>
      </c>
      <c r="R6" s="115">
        <v>1</v>
      </c>
      <c r="S6" s="115">
        <v>25</v>
      </c>
      <c r="T6" s="116">
        <v>52</v>
      </c>
    </row>
    <row r="7" spans="1:20" x14ac:dyDescent="0.25">
      <c r="B7" s="146"/>
      <c r="C7" s="57" t="s">
        <v>0</v>
      </c>
      <c r="D7" s="58"/>
      <c r="E7" s="59"/>
      <c r="F7" s="57" t="s">
        <v>5</v>
      </c>
      <c r="G7" s="58"/>
      <c r="H7" s="59"/>
      <c r="I7" s="57" t="s">
        <v>36</v>
      </c>
      <c r="J7" s="58"/>
      <c r="K7" s="59"/>
      <c r="L7" s="57" t="s">
        <v>12</v>
      </c>
      <c r="M7" s="58"/>
      <c r="N7" s="58"/>
      <c r="O7" s="57" t="s">
        <v>24</v>
      </c>
      <c r="P7" s="58"/>
      <c r="Q7" s="59"/>
      <c r="R7" s="58" t="s">
        <v>20</v>
      </c>
      <c r="S7" s="58"/>
      <c r="T7" s="59"/>
    </row>
    <row r="8" spans="1:20" x14ac:dyDescent="0.25">
      <c r="B8" s="146"/>
      <c r="C8" s="9">
        <f>C6</f>
        <v>1</v>
      </c>
      <c r="D8" s="83">
        <f t="shared" ref="D8:T8" si="0">D6</f>
        <v>25</v>
      </c>
      <c r="E8" s="10">
        <f t="shared" si="0"/>
        <v>52</v>
      </c>
      <c r="F8" s="9">
        <f t="shared" si="0"/>
        <v>1</v>
      </c>
      <c r="G8" s="83">
        <f t="shared" si="0"/>
        <v>25</v>
      </c>
      <c r="H8" s="10">
        <f t="shared" si="0"/>
        <v>52</v>
      </c>
      <c r="I8" s="9">
        <f t="shared" si="0"/>
        <v>1</v>
      </c>
      <c r="J8" s="83">
        <f t="shared" si="0"/>
        <v>25</v>
      </c>
      <c r="K8" s="10">
        <f t="shared" si="0"/>
        <v>52</v>
      </c>
      <c r="L8" s="9">
        <f t="shared" si="0"/>
        <v>1</v>
      </c>
      <c r="M8" s="83">
        <f t="shared" si="0"/>
        <v>25</v>
      </c>
      <c r="N8" s="83">
        <f t="shared" si="0"/>
        <v>52</v>
      </c>
      <c r="O8" s="9">
        <f t="shared" si="0"/>
        <v>1</v>
      </c>
      <c r="P8" s="83">
        <f t="shared" si="0"/>
        <v>25</v>
      </c>
      <c r="Q8" s="10">
        <f t="shared" si="0"/>
        <v>52</v>
      </c>
      <c r="R8" s="83">
        <f t="shared" si="0"/>
        <v>1</v>
      </c>
      <c r="S8" s="83">
        <f t="shared" si="0"/>
        <v>25</v>
      </c>
      <c r="T8" s="10">
        <f t="shared" si="0"/>
        <v>52</v>
      </c>
    </row>
    <row r="9" spans="1:20" x14ac:dyDescent="0.25">
      <c r="B9" s="147" t="s">
        <v>39</v>
      </c>
      <c r="C9" s="40">
        <f>0.82*C4*0.85</f>
        <v>11168.030999999999</v>
      </c>
      <c r="D9" s="84">
        <f>(D4*0.82*0.85*20)+(D4*0.82*0.75*5)</f>
        <v>272631.34499999997</v>
      </c>
      <c r="E9" s="41">
        <f>(E4*0.82*0.85*20)+(E4*0.82*0.75*20)+(E4*0.82*0.55*12)</f>
        <v>507159.99599999993</v>
      </c>
      <c r="F9" s="40">
        <f>1.05*F4*F6</f>
        <v>16824.150000000001</v>
      </c>
      <c r="G9" s="84">
        <f>(G4*1.05*0.8*20)+(G4*1.05*0.7*5)</f>
        <v>328070.92500000005</v>
      </c>
      <c r="H9" s="41">
        <f>(H4*1.05*0.8*20)+(H4*1.05*0.7*20)+(H4*1.05*0.5*12)</f>
        <v>605669.4</v>
      </c>
      <c r="I9" s="40"/>
      <c r="J9" s="84"/>
      <c r="K9" s="26"/>
      <c r="L9" s="16">
        <f>L5/100*40.6</f>
        <v>2537.9059999999999</v>
      </c>
      <c r="M9" s="103">
        <f>L9*M8</f>
        <v>63447.65</v>
      </c>
      <c r="N9" s="103">
        <f>L9*N8*0.98</f>
        <v>129331.68975999999</v>
      </c>
      <c r="O9" s="16">
        <f>O5*0.59</f>
        <v>3688.0899999999997</v>
      </c>
      <c r="P9" s="103">
        <f>O9*P8</f>
        <v>92202.249999999985</v>
      </c>
      <c r="Q9" s="26">
        <f>O9*Q8</f>
        <v>191780.68</v>
      </c>
      <c r="R9" s="103">
        <f>R4*4.28/S3</f>
        <v>6245.4751605118172</v>
      </c>
      <c r="S9" s="103">
        <f>R9*S8</f>
        <v>156136.87901279543</v>
      </c>
      <c r="T9" s="26">
        <f>R9*T8</f>
        <v>324764.7083466145</v>
      </c>
    </row>
    <row r="10" spans="1:20" x14ac:dyDescent="0.25">
      <c r="B10" s="147" t="s">
        <v>40</v>
      </c>
      <c r="C10" s="40"/>
      <c r="D10" s="84"/>
      <c r="E10" s="41"/>
      <c r="F10" s="40"/>
      <c r="G10" s="84"/>
      <c r="H10" s="41"/>
      <c r="I10" s="40">
        <f>2*I4*0.409</f>
        <v>13106.813999999998</v>
      </c>
      <c r="J10" s="75">
        <f>I10*J8*0.8</f>
        <v>262136.28</v>
      </c>
      <c r="K10" s="112">
        <f>I10*K8*0.6</f>
        <v>408932.5968</v>
      </c>
      <c r="L10" s="16"/>
      <c r="M10" s="103"/>
      <c r="N10" s="103"/>
      <c r="O10" s="16"/>
      <c r="P10" s="103"/>
      <c r="Q10" s="26"/>
      <c r="R10" s="103"/>
      <c r="S10" s="103"/>
      <c r="T10" s="26"/>
    </row>
    <row r="11" spans="1:20" x14ac:dyDescent="0.25">
      <c r="B11" s="147" t="s">
        <v>41</v>
      </c>
      <c r="C11" s="40"/>
      <c r="D11" s="84"/>
      <c r="E11" s="41"/>
      <c r="F11" s="40"/>
      <c r="G11" s="84"/>
      <c r="H11" s="41"/>
      <c r="I11" s="40">
        <f>I4*0.09</f>
        <v>1442.07</v>
      </c>
      <c r="J11" s="75">
        <f>I11*J8*0.8</f>
        <v>28841.4</v>
      </c>
      <c r="K11" s="112">
        <f>I11*K8*0.6</f>
        <v>44992.583999999995</v>
      </c>
      <c r="L11" s="16"/>
      <c r="M11" s="103"/>
      <c r="N11" s="103"/>
      <c r="O11" s="16"/>
      <c r="P11" s="103"/>
      <c r="Q11" s="26"/>
      <c r="R11" s="103"/>
      <c r="S11" s="103"/>
      <c r="T11" s="26"/>
    </row>
    <row r="12" spans="1:20" x14ac:dyDescent="0.25">
      <c r="B12" s="147" t="s">
        <v>42</v>
      </c>
      <c r="C12" s="40">
        <f>2*223</f>
        <v>446</v>
      </c>
      <c r="D12" s="84">
        <f>2*223*D6</f>
        <v>11150</v>
      </c>
      <c r="E12" s="41">
        <f>2*223*E6</f>
        <v>23192</v>
      </c>
      <c r="F12" s="40">
        <f>2*300*F6</f>
        <v>600</v>
      </c>
      <c r="G12" s="84">
        <f>2*300*G6</f>
        <v>15000</v>
      </c>
      <c r="H12" s="41">
        <f>2*300*H6</f>
        <v>31200</v>
      </c>
      <c r="I12" s="40">
        <f>2*235</f>
        <v>470</v>
      </c>
      <c r="J12" s="84">
        <f>I12*J8</f>
        <v>11750</v>
      </c>
      <c r="K12" s="26">
        <f>I12*K8</f>
        <v>24440</v>
      </c>
      <c r="L12" s="16">
        <f>397.28*2</f>
        <v>794.56</v>
      </c>
      <c r="M12" s="103">
        <f>L12*M8</f>
        <v>19864</v>
      </c>
      <c r="N12" s="103">
        <f>L12*N8</f>
        <v>41317.119999999995</v>
      </c>
      <c r="O12" s="16">
        <f>2*411</f>
        <v>822</v>
      </c>
      <c r="P12" s="103">
        <f>O12*P8</f>
        <v>20550</v>
      </c>
      <c r="Q12" s="26">
        <f>O12*Q8</f>
        <v>42744</v>
      </c>
      <c r="R12" s="103">
        <f>2*5198/S3</f>
        <v>946.76927280178506</v>
      </c>
      <c r="S12" s="103">
        <f>R12*S8</f>
        <v>23669.231820044628</v>
      </c>
      <c r="T12" s="26">
        <f>R12*T8</f>
        <v>49232.002185692822</v>
      </c>
    </row>
    <row r="13" spans="1:20" x14ac:dyDescent="0.25">
      <c r="A13" s="42" t="s">
        <v>43</v>
      </c>
      <c r="B13" s="85" t="s">
        <v>59</v>
      </c>
      <c r="C13" s="31">
        <f>C4*0.018*C6</f>
        <v>288.41399999999999</v>
      </c>
      <c r="D13" s="32">
        <f>D4*0.018*D6</f>
        <v>7210.3499999999995</v>
      </c>
      <c r="E13" s="33">
        <f>E4*0.018*E6</f>
        <v>14997.527999999998</v>
      </c>
      <c r="F13" s="31">
        <f>0.1*F4</f>
        <v>1602.3000000000002</v>
      </c>
      <c r="G13" s="32">
        <f>0.1*G4*G6</f>
        <v>40057.500000000007</v>
      </c>
      <c r="H13" s="33">
        <f>0.1*H4*H6</f>
        <v>83319.600000000006</v>
      </c>
      <c r="I13" s="31"/>
      <c r="J13" s="32"/>
      <c r="K13" s="43"/>
      <c r="L13" s="44">
        <f>L5/100*13.6</f>
        <v>850.13599999999997</v>
      </c>
      <c r="M13" s="45">
        <f>L13*M6</f>
        <v>21253.399999999998</v>
      </c>
      <c r="N13" s="45">
        <f>L13*N6</f>
        <v>44207.072</v>
      </c>
      <c r="O13" s="44"/>
      <c r="P13" s="45"/>
      <c r="Q13" s="43"/>
      <c r="R13" s="45"/>
      <c r="S13" s="45"/>
      <c r="T13" s="43"/>
    </row>
    <row r="14" spans="1:20" x14ac:dyDescent="0.25">
      <c r="A14" s="89"/>
      <c r="B14" s="146" t="s">
        <v>58</v>
      </c>
      <c r="C14" s="40"/>
      <c r="D14" s="84"/>
      <c r="E14" s="41"/>
      <c r="F14" s="40"/>
      <c r="G14" s="84"/>
      <c r="H14" s="41"/>
      <c r="I14" s="40">
        <f>I4*0.062</f>
        <v>993.42600000000004</v>
      </c>
      <c r="J14" s="84">
        <f>I14*J8</f>
        <v>24835.65</v>
      </c>
      <c r="K14" s="26">
        <f>I14*K8</f>
        <v>51658.152000000002</v>
      </c>
      <c r="L14" s="16"/>
      <c r="M14" s="103"/>
      <c r="N14" s="103"/>
      <c r="O14" s="16"/>
      <c r="P14" s="103"/>
      <c r="Q14" s="26"/>
      <c r="R14" s="103"/>
      <c r="S14" s="103"/>
      <c r="T14" s="26"/>
    </row>
    <row r="15" spans="1:20" x14ac:dyDescent="0.25">
      <c r="A15" s="89"/>
      <c r="B15" s="146" t="s">
        <v>60</v>
      </c>
      <c r="C15" s="40"/>
      <c r="D15" s="84"/>
      <c r="E15" s="41"/>
      <c r="F15" s="40"/>
      <c r="G15" s="84"/>
      <c r="H15" s="41"/>
      <c r="I15" s="40"/>
      <c r="J15" s="84"/>
      <c r="K15" s="26"/>
      <c r="L15" s="16"/>
      <c r="M15" s="103"/>
      <c r="N15" s="103"/>
      <c r="O15" s="16">
        <v>131</v>
      </c>
      <c r="P15" s="103">
        <v>131</v>
      </c>
      <c r="Q15" s="26">
        <v>131</v>
      </c>
      <c r="R15" s="103"/>
      <c r="S15" s="103"/>
      <c r="T15" s="26"/>
    </row>
    <row r="16" spans="1:20" x14ac:dyDescent="0.25">
      <c r="A16" s="89"/>
      <c r="B16" s="146" t="s">
        <v>61</v>
      </c>
      <c r="C16" s="40"/>
      <c r="D16" s="84"/>
      <c r="E16" s="41"/>
      <c r="F16" s="40"/>
      <c r="G16" s="84"/>
      <c r="H16" s="41"/>
      <c r="I16" s="40"/>
      <c r="J16" s="84"/>
      <c r="K16" s="26"/>
      <c r="L16" s="16"/>
      <c r="M16" s="103"/>
      <c r="N16" s="103"/>
      <c r="O16" s="16">
        <f>0.19*O5</f>
        <v>1187.69</v>
      </c>
      <c r="P16" s="103">
        <f>0.19*P5</f>
        <v>1187.69</v>
      </c>
      <c r="Q16" s="26">
        <f>0.19*Q5</f>
        <v>1187.69</v>
      </c>
      <c r="R16" s="103"/>
      <c r="S16" s="103"/>
      <c r="T16" s="26"/>
    </row>
    <row r="17" spans="1:20" x14ac:dyDescent="0.25">
      <c r="A17" s="1"/>
      <c r="B17" s="87" t="s">
        <v>62</v>
      </c>
      <c r="C17" s="46"/>
      <c r="D17" s="47"/>
      <c r="E17" s="48"/>
      <c r="F17" s="46"/>
      <c r="G17" s="47"/>
      <c r="H17" s="48"/>
      <c r="I17" s="46"/>
      <c r="J17" s="47"/>
      <c r="K17" s="49"/>
      <c r="L17" s="50"/>
      <c r="M17" s="51"/>
      <c r="N17" s="51"/>
      <c r="O17" s="50">
        <f>0.02*O5</f>
        <v>125.02</v>
      </c>
      <c r="P17" s="51">
        <f>0.02*P5</f>
        <v>125.02</v>
      </c>
      <c r="Q17" s="49">
        <f>0.02*Q5</f>
        <v>125.02</v>
      </c>
      <c r="R17" s="51"/>
      <c r="S17" s="51"/>
      <c r="T17" s="49"/>
    </row>
    <row r="18" spans="1:20" x14ac:dyDescent="0.25">
      <c r="B18" s="147" t="s">
        <v>65</v>
      </c>
      <c r="C18" s="40"/>
      <c r="D18" s="84"/>
      <c r="E18" s="41"/>
      <c r="F18" s="40"/>
      <c r="G18" s="84"/>
      <c r="H18" s="41"/>
      <c r="I18" s="40"/>
      <c r="J18" s="84"/>
      <c r="K18" s="26"/>
      <c r="L18" s="111">
        <f>300*10*3.22</f>
        <v>9660</v>
      </c>
      <c r="M18" s="103">
        <f>L18*M8</f>
        <v>241500</v>
      </c>
      <c r="N18" s="103">
        <f>L18*N8</f>
        <v>502320</v>
      </c>
      <c r="O18" s="16">
        <f>187*48.5</f>
        <v>9069.5</v>
      </c>
      <c r="P18" s="103">
        <f>O18*P8</f>
        <v>226737.5</v>
      </c>
      <c r="Q18" s="26">
        <f>O18*Q8</f>
        <v>471614</v>
      </c>
      <c r="R18" s="103">
        <f>((112*351)+(75*273))/S3</f>
        <v>5444.834023951551</v>
      </c>
      <c r="S18" s="103">
        <f>R18*S8</f>
        <v>136120.85059878876</v>
      </c>
      <c r="T18" s="26">
        <f>R18*T8</f>
        <v>283131.36924548063</v>
      </c>
    </row>
    <row r="19" spans="1:20" x14ac:dyDescent="0.25">
      <c r="B19" s="147" t="s">
        <v>46</v>
      </c>
      <c r="C19" s="40">
        <f>2*1446*C6</f>
        <v>2892</v>
      </c>
      <c r="D19" s="84">
        <f>2*1446*D6</f>
        <v>72300</v>
      </c>
      <c r="E19" s="41">
        <f>2*1446*E6</f>
        <v>150384</v>
      </c>
      <c r="F19" s="40">
        <f>2*1285*F6</f>
        <v>2570</v>
      </c>
      <c r="G19" s="84">
        <f>2*1285*G6</f>
        <v>64250</v>
      </c>
      <c r="H19" s="41">
        <f>2*1285*H6</f>
        <v>133640</v>
      </c>
      <c r="I19" s="40"/>
      <c r="J19" s="84"/>
      <c r="K19" s="26"/>
      <c r="L19" s="111">
        <f>2*1380</f>
        <v>2760</v>
      </c>
      <c r="M19" s="103">
        <f>L19*M8</f>
        <v>69000</v>
      </c>
      <c r="N19" s="103">
        <f>L19*N8</f>
        <v>143520</v>
      </c>
      <c r="O19" s="16">
        <f>(894+(20*54))*2</f>
        <v>3948</v>
      </c>
      <c r="P19" s="103">
        <f>O19*P8</f>
        <v>98700</v>
      </c>
      <c r="Q19" s="26">
        <f>O19*Q8</f>
        <v>205296</v>
      </c>
      <c r="R19" s="103">
        <f>(620+10090+(3*3150))/S3*2</f>
        <v>3671.9639360684855</v>
      </c>
      <c r="S19" s="103">
        <f>R19*S8</f>
        <v>91799.098401712137</v>
      </c>
      <c r="T19" s="26">
        <f>R19*T8</f>
        <v>190942.12467556124</v>
      </c>
    </row>
    <row r="20" spans="1:20" x14ac:dyDescent="0.25">
      <c r="B20" s="147" t="s">
        <v>47</v>
      </c>
      <c r="C20" s="40">
        <f>C4*0.3*1</f>
        <v>4806.8999999999996</v>
      </c>
      <c r="D20" s="84">
        <f>D4*0.3*10</f>
        <v>48069</v>
      </c>
      <c r="E20" s="41">
        <f>E4*0.3*10</f>
        <v>48069</v>
      </c>
      <c r="F20" s="40">
        <f>F4*0.3*1</f>
        <v>4806.8999999999996</v>
      </c>
      <c r="G20" s="84">
        <f>G4*0.3*10</f>
        <v>48069</v>
      </c>
      <c r="H20" s="41">
        <f>H4*0.3*10</f>
        <v>48069</v>
      </c>
      <c r="I20" s="40">
        <f>0.06*I4</f>
        <v>961.38</v>
      </c>
      <c r="J20" s="84">
        <f>I20*10</f>
        <v>9613.7999999999993</v>
      </c>
      <c r="K20" s="26">
        <f>I20*10</f>
        <v>9613.7999999999993</v>
      </c>
      <c r="L20" s="111">
        <f>L5*1.098</f>
        <v>6863.5980000000009</v>
      </c>
      <c r="M20" s="103">
        <f>L20*10</f>
        <v>68635.98000000001</v>
      </c>
      <c r="N20" s="103">
        <f>L20*10</f>
        <v>68635.98000000001</v>
      </c>
      <c r="O20" s="111">
        <f>O5*1.098</f>
        <v>6863.5980000000009</v>
      </c>
      <c r="P20" s="103">
        <f>O20*10</f>
        <v>68635.98000000001</v>
      </c>
      <c r="Q20" s="26">
        <f>O20*10</f>
        <v>68635.98000000001</v>
      </c>
      <c r="R20" s="103">
        <f>((19350+58205)/S3)+((300*10*2*2.68)/S3)</f>
        <v>8527.3894631392031</v>
      </c>
      <c r="S20" s="103">
        <f>(((19350+58205)/S3)*24)+(((19350+58205)/S3)*0.75)+(((300*10*2*2.68)/S3)*25)</f>
        <v>211418.99275989257</v>
      </c>
      <c r="T20" s="26">
        <f>(((19350+58205)/S3)*24)+(((19350+58205)/S3)*12*0.75)+(((19350+58205)/S3)*12*0.5)+(((19350+58205)/S3)*4*0.25)+(((300*10*2*2.68)/S3)*52)</f>
        <v>358668.54879103863</v>
      </c>
    </row>
    <row r="21" spans="1:20" x14ac:dyDescent="0.25">
      <c r="B21" s="146"/>
      <c r="C21" s="40"/>
      <c r="D21" s="84"/>
      <c r="E21" s="41"/>
      <c r="F21" s="40"/>
      <c r="G21" s="84"/>
      <c r="H21" s="41"/>
      <c r="I21" s="40"/>
      <c r="J21" s="84"/>
      <c r="K21" s="26"/>
      <c r="L21" s="16"/>
      <c r="M21" s="103"/>
      <c r="N21" s="103"/>
      <c r="O21" s="16"/>
      <c r="P21" s="103"/>
      <c r="Q21" s="26"/>
      <c r="R21" s="103"/>
      <c r="S21" s="103"/>
      <c r="T21" s="26"/>
    </row>
    <row r="22" spans="1:20" x14ac:dyDescent="0.25">
      <c r="B22" s="92" t="s">
        <v>52</v>
      </c>
      <c r="C22" s="31">
        <f>SUM(C9:C21)</f>
        <v>19601.345000000001</v>
      </c>
      <c r="D22" s="32">
        <f>SUM(D9:D21)</f>
        <v>411360.69499999995</v>
      </c>
      <c r="E22" s="33">
        <f>SUM(E9:E21)</f>
        <v>743802.52399999998</v>
      </c>
      <c r="F22" s="31">
        <f>SUM(F9:F21)</f>
        <v>26403.35</v>
      </c>
      <c r="G22" s="32">
        <f>SUM(G9:G21)</f>
        <v>495447.42500000005</v>
      </c>
      <c r="H22" s="33">
        <f>SUM(H9:H21)</f>
        <v>901898</v>
      </c>
      <c r="I22" s="31">
        <f>SUM(I9:I21)</f>
        <v>16973.689999999999</v>
      </c>
      <c r="J22" s="32">
        <f>SUM(J9:J21)</f>
        <v>337177.13</v>
      </c>
      <c r="K22" s="33">
        <f>SUM(K9:K21)</f>
        <v>539637.13280000002</v>
      </c>
      <c r="L22" s="32">
        <f>SUM(L9:L21)</f>
        <v>23466.2</v>
      </c>
      <c r="M22" s="32">
        <f>SUM(M9:M21)</f>
        <v>483701.03</v>
      </c>
      <c r="N22" s="32">
        <f>SUM(N9:N21)</f>
        <v>929331.86176</v>
      </c>
      <c r="O22" s="31">
        <f>SUM(O9:O21)</f>
        <v>25834.898000000005</v>
      </c>
      <c r="P22" s="32">
        <f>SUM(P9:P21)</f>
        <v>508269.43999999994</v>
      </c>
      <c r="Q22" s="33">
        <f>SUM(Q9:Q21)</f>
        <v>981514.37</v>
      </c>
      <c r="R22" s="32">
        <f>SUM(R9:R21)</f>
        <v>24836.431856472842</v>
      </c>
      <c r="S22" s="32">
        <f>SUM(S9:S21)</f>
        <v>619145.05259323353</v>
      </c>
      <c r="T22" s="33">
        <f>SUM(T9:T21)</f>
        <v>1206738.7532443877</v>
      </c>
    </row>
    <row r="23" spans="1:20" x14ac:dyDescent="0.25">
      <c r="B23" s="86" t="s">
        <v>53</v>
      </c>
      <c r="C23" s="34">
        <f>C22/C6</f>
        <v>19601.345000000001</v>
      </c>
      <c r="D23" s="35">
        <f>D22/D6</f>
        <v>16454.427799999998</v>
      </c>
      <c r="E23" s="36">
        <f>E22/E6</f>
        <v>14303.894692307691</v>
      </c>
      <c r="F23" s="34">
        <f>F22/F6</f>
        <v>26403.35</v>
      </c>
      <c r="G23" s="35">
        <f>G22/G6</f>
        <v>19817.897000000001</v>
      </c>
      <c r="H23" s="36">
        <f>H22/H6</f>
        <v>17344.192307692309</v>
      </c>
      <c r="I23" s="34">
        <f>I22/I6</f>
        <v>16973.689999999999</v>
      </c>
      <c r="J23" s="35">
        <f>J22/J6</f>
        <v>13487.0852</v>
      </c>
      <c r="K23" s="36">
        <f>K22/K6</f>
        <v>10377.637169230769</v>
      </c>
      <c r="L23" s="35">
        <f>L22/L6</f>
        <v>23466.2</v>
      </c>
      <c r="M23" s="35">
        <f>M22/M6</f>
        <v>19348.0412</v>
      </c>
      <c r="N23" s="35">
        <f>N22/N6</f>
        <v>17871.766572307693</v>
      </c>
      <c r="O23" s="34">
        <f>O22/O6</f>
        <v>25834.898000000005</v>
      </c>
      <c r="P23" s="35">
        <f>P22/P6</f>
        <v>20330.777599999998</v>
      </c>
      <c r="Q23" s="36">
        <f>Q22/Q6</f>
        <v>18875.276346153845</v>
      </c>
      <c r="R23" s="35">
        <f>R22/R6</f>
        <v>24836.431856472842</v>
      </c>
      <c r="S23" s="35">
        <f>S22/S6</f>
        <v>24765.80210372934</v>
      </c>
      <c r="T23" s="36">
        <f>T22/T6</f>
        <v>23206.514485468993</v>
      </c>
    </row>
    <row r="24" spans="1:20" ht="18" customHeight="1" x14ac:dyDescent="0.25">
      <c r="B24" s="148" t="s">
        <v>54</v>
      </c>
      <c r="C24" s="70">
        <f>C20/C8</f>
        <v>4806.8999999999996</v>
      </c>
      <c r="D24" s="69">
        <f>D20/D8</f>
        <v>1922.76</v>
      </c>
      <c r="E24" s="71">
        <f>E20/E8</f>
        <v>924.40384615384619</v>
      </c>
      <c r="F24" s="70">
        <f>F20/F8</f>
        <v>4806.8999999999996</v>
      </c>
      <c r="G24" s="69">
        <f>G20/G8</f>
        <v>1922.76</v>
      </c>
      <c r="H24" s="71">
        <f>H20/H8</f>
        <v>924.40384615384619</v>
      </c>
      <c r="I24" s="70">
        <f>I20/I8</f>
        <v>961.38</v>
      </c>
      <c r="J24" s="69">
        <f>J20/J8</f>
        <v>384.55199999999996</v>
      </c>
      <c r="K24" s="71">
        <f>K20/K8</f>
        <v>184.8807692307692</v>
      </c>
      <c r="L24" s="70">
        <f>L20/L8</f>
        <v>6863.5980000000009</v>
      </c>
      <c r="M24" s="69">
        <f>M20/M8</f>
        <v>2745.4392000000003</v>
      </c>
      <c r="N24" s="69">
        <f>N20/N8</f>
        <v>1319.9226923076926</v>
      </c>
      <c r="O24" s="70">
        <f>O20/O8</f>
        <v>6863.5980000000009</v>
      </c>
      <c r="P24" s="69">
        <f>P20/P8</f>
        <v>2745.4392000000003</v>
      </c>
      <c r="Q24" s="71">
        <f>Q20/Q8</f>
        <v>1319.9226923076926</v>
      </c>
      <c r="R24" s="69">
        <f>R20/R8</f>
        <v>8527.3894631392031</v>
      </c>
      <c r="S24" s="69">
        <f>S20/S8</f>
        <v>8456.7597103957032</v>
      </c>
      <c r="T24" s="71">
        <f>T20/T8</f>
        <v>6897.4720921353583</v>
      </c>
    </row>
    <row r="25" spans="1:20" x14ac:dyDescent="0.25">
      <c r="C25" s="20"/>
      <c r="D25" s="20"/>
      <c r="E25" s="20"/>
      <c r="F25" s="20"/>
      <c r="G25" s="20"/>
      <c r="H25" s="20"/>
      <c r="I25" s="20"/>
      <c r="J25" s="20"/>
      <c r="K25" s="20"/>
      <c r="L25" s="20"/>
      <c r="M25" s="20"/>
      <c r="N25" s="20"/>
      <c r="O25" s="20"/>
      <c r="P25" s="20"/>
      <c r="Q25" s="20"/>
      <c r="R25" s="20"/>
      <c r="S25" s="20"/>
      <c r="T25" s="20"/>
    </row>
  </sheetData>
  <mergeCells count="6">
    <mergeCell ref="R7:T7"/>
    <mergeCell ref="L7:N7"/>
    <mergeCell ref="O7:Q7"/>
    <mergeCell ref="C7:E7"/>
    <mergeCell ref="F7:H7"/>
    <mergeCell ref="I7:K7"/>
  </mergeCells>
  <pageMargins left="0.7" right="0.7" top="0.75" bottom="0.75" header="0.3" footer="0.3"/>
  <pageSetup paperSize="9" orientation="portrait" horizontalDpi="4294967295" verticalDpi="4294967295"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48D887-63FC-430B-BF79-AD49E21E36C4}">
  <dimension ref="A2:R27"/>
  <sheetViews>
    <sheetView zoomScale="130" zoomScaleNormal="130" workbookViewId="0">
      <selection activeCell="B2" sqref="B2"/>
    </sheetView>
  </sheetViews>
  <sheetFormatPr defaultRowHeight="15" x14ac:dyDescent="0.25"/>
  <cols>
    <col min="1" max="1" width="26.7109375" bestFit="1" customWidth="1"/>
    <col min="2" max="2" width="36.5703125" bestFit="1" customWidth="1"/>
    <col min="3" max="3" width="13" bestFit="1" customWidth="1"/>
    <col min="4" max="4" width="11.28515625" bestFit="1" customWidth="1"/>
  </cols>
  <sheetData>
    <row r="2" spans="1:18" x14ac:dyDescent="0.25">
      <c r="B2" s="113" t="s">
        <v>37</v>
      </c>
    </row>
    <row r="3" spans="1:18" x14ac:dyDescent="0.25">
      <c r="I3" t="s">
        <v>18</v>
      </c>
      <c r="J3">
        <v>10.980499999999999</v>
      </c>
      <c r="K3" t="s">
        <v>19</v>
      </c>
    </row>
    <row r="4" spans="1:18" x14ac:dyDescent="0.25">
      <c r="B4" t="s">
        <v>1</v>
      </c>
      <c r="C4" s="117">
        <v>22746</v>
      </c>
      <c r="D4" s="117">
        <v>22746</v>
      </c>
      <c r="E4" s="117">
        <v>22746</v>
      </c>
      <c r="F4" s="117">
        <v>22746</v>
      </c>
      <c r="G4" s="118"/>
      <c r="H4" s="118"/>
      <c r="I4" s="117">
        <v>22746</v>
      </c>
    </row>
    <row r="5" spans="1:18" x14ac:dyDescent="0.25">
      <c r="C5" s="117">
        <f>C4</f>
        <v>22746</v>
      </c>
      <c r="D5" s="117">
        <f t="shared" ref="D5:F5" si="0">D4</f>
        <v>22746</v>
      </c>
      <c r="E5" s="117">
        <f t="shared" si="0"/>
        <v>22746</v>
      </c>
      <c r="F5" s="117">
        <f t="shared" si="0"/>
        <v>22746</v>
      </c>
      <c r="G5" s="117"/>
      <c r="H5" s="117" t="s">
        <v>67</v>
      </c>
      <c r="I5" s="117">
        <f t="shared" ref="I5" si="1">I4</f>
        <v>22746</v>
      </c>
      <c r="J5" s="11"/>
    </row>
    <row r="6" spans="1:18" x14ac:dyDescent="0.25">
      <c r="B6" t="s">
        <v>2</v>
      </c>
      <c r="G6">
        <v>12344</v>
      </c>
      <c r="H6">
        <v>12344</v>
      </c>
      <c r="I6">
        <v>12344</v>
      </c>
    </row>
    <row r="7" spans="1:18" x14ac:dyDescent="0.25">
      <c r="B7" t="s">
        <v>66</v>
      </c>
      <c r="G7">
        <v>36000</v>
      </c>
      <c r="H7">
        <v>36000</v>
      </c>
      <c r="I7">
        <v>36000</v>
      </c>
    </row>
    <row r="8" spans="1:18" x14ac:dyDescent="0.25">
      <c r="B8" t="s">
        <v>49</v>
      </c>
      <c r="C8" t="s">
        <v>4</v>
      </c>
      <c r="D8" t="s">
        <v>4</v>
      </c>
    </row>
    <row r="9" spans="1:18" x14ac:dyDescent="0.25">
      <c r="B9" s="140" t="s">
        <v>51</v>
      </c>
      <c r="C9" s="132">
        <v>1</v>
      </c>
      <c r="D9" s="133">
        <v>1</v>
      </c>
      <c r="E9" s="132">
        <v>1</v>
      </c>
      <c r="F9" s="133">
        <v>1</v>
      </c>
      <c r="G9" s="132">
        <v>1</v>
      </c>
      <c r="H9" s="133">
        <v>1</v>
      </c>
      <c r="I9" s="133">
        <v>1</v>
      </c>
      <c r="J9" s="5"/>
      <c r="K9" s="89"/>
      <c r="L9" s="89"/>
      <c r="M9" s="89"/>
      <c r="N9" s="89"/>
      <c r="O9" s="89"/>
      <c r="P9" s="89"/>
      <c r="Q9" s="89"/>
      <c r="R9" s="89"/>
    </row>
    <row r="10" spans="1:18" x14ac:dyDescent="0.25">
      <c r="B10" s="5"/>
      <c r="C10" s="140" t="s">
        <v>0</v>
      </c>
      <c r="D10" s="181" t="s">
        <v>5</v>
      </c>
      <c r="E10" s="140" t="s">
        <v>36</v>
      </c>
      <c r="F10" s="181" t="s">
        <v>17</v>
      </c>
      <c r="G10" s="140" t="s">
        <v>13</v>
      </c>
      <c r="H10" s="181" t="s">
        <v>33</v>
      </c>
      <c r="I10" s="181" t="s">
        <v>20</v>
      </c>
      <c r="J10" s="5"/>
      <c r="K10" s="89"/>
      <c r="L10" s="89"/>
      <c r="M10" s="89"/>
      <c r="N10" s="89"/>
      <c r="O10" s="89"/>
      <c r="P10" s="89"/>
      <c r="Q10" s="89"/>
      <c r="R10" s="89"/>
    </row>
    <row r="11" spans="1:18" x14ac:dyDescent="0.25">
      <c r="B11" s="137" t="s">
        <v>39</v>
      </c>
      <c r="C11" s="17">
        <f>0.82*C5</f>
        <v>18651.719999999998</v>
      </c>
      <c r="D11" s="27">
        <f>1.15*D5</f>
        <v>26157.899999999998</v>
      </c>
      <c r="E11" s="16"/>
      <c r="F11" s="27">
        <f>(0.22*F5*0.5)+(0.22*F5)</f>
        <v>7506.18</v>
      </c>
      <c r="G11" s="17">
        <f>G6*0.59</f>
        <v>7282.96</v>
      </c>
      <c r="H11" s="27">
        <f>H6*0.59</f>
        <v>7282.96</v>
      </c>
      <c r="I11" s="27">
        <f>4.28*I4/J3</f>
        <v>8865.9787805655487</v>
      </c>
      <c r="J11" s="16"/>
      <c r="K11" s="103"/>
      <c r="L11" s="103"/>
      <c r="M11" s="103"/>
      <c r="N11" s="103"/>
      <c r="O11" s="89"/>
      <c r="P11" s="89"/>
      <c r="Q11" s="89"/>
      <c r="R11" s="89"/>
    </row>
    <row r="12" spans="1:18" x14ac:dyDescent="0.25">
      <c r="B12" s="137" t="s">
        <v>40</v>
      </c>
      <c r="C12" s="16"/>
      <c r="D12" s="26"/>
      <c r="E12" s="17">
        <f>(0.437*E5)+(0.875*E5)</f>
        <v>29842.752</v>
      </c>
      <c r="F12" s="27">
        <f>0.35*F5*2</f>
        <v>15922.199999999999</v>
      </c>
      <c r="G12" s="16"/>
      <c r="H12" s="26"/>
      <c r="I12" s="26"/>
      <c r="J12" s="16"/>
      <c r="K12" s="103"/>
      <c r="L12" s="103"/>
      <c r="M12" s="103"/>
      <c r="N12" s="103"/>
      <c r="O12" s="89"/>
      <c r="P12" s="89"/>
      <c r="Q12" s="89"/>
      <c r="R12" s="89"/>
    </row>
    <row r="13" spans="1:18" x14ac:dyDescent="0.25">
      <c r="B13" s="137" t="s">
        <v>41</v>
      </c>
      <c r="C13" s="16"/>
      <c r="D13" s="26"/>
      <c r="E13" s="17">
        <f>E5*0.09</f>
        <v>2047.1399999999999</v>
      </c>
      <c r="F13" s="27">
        <f>0.1*F5</f>
        <v>2274.6</v>
      </c>
      <c r="G13" s="16"/>
      <c r="H13" s="26"/>
      <c r="I13" s="26"/>
      <c r="J13" s="15"/>
      <c r="K13" s="15"/>
      <c r="L13" s="15"/>
      <c r="M13" s="15"/>
      <c r="N13" s="15"/>
    </row>
    <row r="14" spans="1:18" x14ac:dyDescent="0.25">
      <c r="B14" s="137" t="s">
        <v>42</v>
      </c>
      <c r="C14" s="17">
        <f>2*294</f>
        <v>588</v>
      </c>
      <c r="D14" s="27">
        <f>2*400</f>
        <v>800</v>
      </c>
      <c r="E14" s="17">
        <f>2*375</f>
        <v>750</v>
      </c>
      <c r="F14" s="27">
        <f>2*320</f>
        <v>640</v>
      </c>
      <c r="G14" s="17">
        <f>2*484</f>
        <v>968</v>
      </c>
      <c r="H14" s="27">
        <f>2*484</f>
        <v>968</v>
      </c>
      <c r="I14" s="27">
        <f>2*5198/J3</f>
        <v>946.76927280178506</v>
      </c>
      <c r="J14" s="15"/>
      <c r="K14" s="15"/>
      <c r="L14" s="15"/>
      <c r="M14" s="15"/>
      <c r="N14" s="15"/>
    </row>
    <row r="15" spans="1:18" x14ac:dyDescent="0.25">
      <c r="A15" s="42" t="s">
        <v>43</v>
      </c>
      <c r="B15" s="4" t="s">
        <v>59</v>
      </c>
      <c r="C15" s="17">
        <f>C5*0.018</f>
        <v>409.428</v>
      </c>
      <c r="D15" s="27">
        <f>0.1*D5</f>
        <v>2274.6</v>
      </c>
      <c r="E15" s="16"/>
      <c r="F15" s="26"/>
      <c r="G15" s="16"/>
      <c r="H15" s="26"/>
      <c r="I15" s="26"/>
      <c r="J15" s="15"/>
      <c r="K15" s="15"/>
      <c r="L15" s="15"/>
      <c r="M15" s="15"/>
      <c r="N15" s="15"/>
    </row>
    <row r="16" spans="1:18" x14ac:dyDescent="0.25">
      <c r="A16" s="89"/>
      <c r="B16" s="5" t="s">
        <v>58</v>
      </c>
      <c r="C16" s="16"/>
      <c r="D16" s="26"/>
      <c r="E16" s="17">
        <f>E5*0.062</f>
        <v>1410.252</v>
      </c>
      <c r="F16" s="27">
        <f>0.06*F5</f>
        <v>1364.76</v>
      </c>
      <c r="G16" s="16"/>
      <c r="H16" s="26"/>
      <c r="I16" s="26"/>
      <c r="J16" s="15"/>
      <c r="K16" s="15"/>
      <c r="L16" s="15"/>
      <c r="M16" s="15"/>
      <c r="N16" s="15"/>
    </row>
    <row r="17" spans="1:14" x14ac:dyDescent="0.25">
      <c r="A17" s="89"/>
      <c r="B17" s="5" t="s">
        <v>60</v>
      </c>
      <c r="C17" s="16"/>
      <c r="D17" s="26"/>
      <c r="E17" s="16"/>
      <c r="F17" s="26"/>
      <c r="G17" s="17">
        <f>IF((G6*0.09)&gt;=131,131,IF((G6*0.09)&lt;=45,45,G6*0.09))</f>
        <v>131</v>
      </c>
      <c r="H17" s="27">
        <f>IF((H6*0.09)&gt;=131,131,IF((H6*0.09)&lt;=45,45,H6*0.09))</f>
        <v>131</v>
      </c>
      <c r="I17" s="26"/>
      <c r="J17" s="15"/>
      <c r="K17" s="15"/>
      <c r="L17" s="15"/>
      <c r="M17" s="15"/>
      <c r="N17" s="15"/>
    </row>
    <row r="18" spans="1:14" x14ac:dyDescent="0.25">
      <c r="A18" s="89"/>
      <c r="B18" s="5" t="s">
        <v>61</v>
      </c>
      <c r="C18" s="16"/>
      <c r="D18" s="26"/>
      <c r="E18" s="16"/>
      <c r="F18" s="26"/>
      <c r="G18" s="17">
        <v>1573</v>
      </c>
      <c r="H18" s="27">
        <v>1574</v>
      </c>
      <c r="I18" s="26"/>
      <c r="J18" s="15"/>
      <c r="K18" s="15"/>
      <c r="L18" s="15"/>
      <c r="M18" s="15"/>
      <c r="N18" s="15"/>
    </row>
    <row r="19" spans="1:14" x14ac:dyDescent="0.25">
      <c r="A19" s="1"/>
      <c r="B19" s="7" t="s">
        <v>62</v>
      </c>
      <c r="C19" s="16"/>
      <c r="D19" s="26"/>
      <c r="E19" s="16"/>
      <c r="F19" s="26"/>
      <c r="G19" s="17">
        <f>G6*0.02</f>
        <v>246.88</v>
      </c>
      <c r="H19" s="27">
        <f>H6*0.02</f>
        <v>246.88</v>
      </c>
      <c r="I19" s="26"/>
      <c r="J19" s="15"/>
      <c r="K19" s="15"/>
      <c r="L19" s="15"/>
      <c r="M19" s="15"/>
      <c r="N19" s="15"/>
    </row>
    <row r="20" spans="1:14" x14ac:dyDescent="0.25">
      <c r="B20" s="137" t="s">
        <v>65</v>
      </c>
      <c r="C20" s="16"/>
      <c r="D20" s="26"/>
      <c r="E20" s="16"/>
      <c r="F20" s="26"/>
      <c r="G20" s="17">
        <f>36000*1.19</f>
        <v>42840</v>
      </c>
      <c r="H20" s="27">
        <f>36000*1.19</f>
        <v>42840</v>
      </c>
      <c r="I20" s="27">
        <f>36000*11.05/J3</f>
        <v>36227.858476389963</v>
      </c>
      <c r="J20" s="15"/>
      <c r="K20" s="15"/>
      <c r="L20" s="15"/>
      <c r="M20" s="15"/>
      <c r="N20" s="15"/>
    </row>
    <row r="21" spans="1:14" x14ac:dyDescent="0.25">
      <c r="B21" s="137" t="s">
        <v>46</v>
      </c>
      <c r="C21" s="17">
        <f>2*1682</f>
        <v>3364</v>
      </c>
      <c r="D21" s="27">
        <f>2*1470</f>
        <v>2940</v>
      </c>
      <c r="E21" s="16"/>
      <c r="F21" s="27">
        <f>2*F5*0.11</f>
        <v>5004.12</v>
      </c>
      <c r="G21" s="17">
        <f>2*2118</f>
        <v>4236</v>
      </c>
      <c r="H21" s="27">
        <f>2*2118</f>
        <v>4236</v>
      </c>
      <c r="I21" s="27">
        <f>(620+13650+(6*4200))*2/J3</f>
        <v>7189.1079641182105</v>
      </c>
      <c r="J21" s="15"/>
      <c r="K21" s="15"/>
      <c r="L21" s="15"/>
      <c r="M21" s="15"/>
      <c r="N21" s="15"/>
    </row>
    <row r="22" spans="1:14" x14ac:dyDescent="0.25">
      <c r="B22" s="137" t="s">
        <v>47</v>
      </c>
      <c r="C22" s="17">
        <f>C5*0.35</f>
        <v>7961.0999999999995</v>
      </c>
      <c r="D22" s="27">
        <f>D5*0.35</f>
        <v>7961.0999999999995</v>
      </c>
      <c r="E22" s="16">
        <f>E5*0.095</f>
        <v>2160.87</v>
      </c>
      <c r="F22" s="26">
        <f>F5*0.095</f>
        <v>2160.87</v>
      </c>
      <c r="G22" s="17">
        <f>2.578*G6</f>
        <v>31822.831999999999</v>
      </c>
      <c r="H22" s="27">
        <f>2.578*H6*0.5</f>
        <v>15911.415999999999</v>
      </c>
      <c r="I22" s="27">
        <f>(28110+84590)/J3+((36000*1.33)/J3)</f>
        <v>14624.106370383863</v>
      </c>
      <c r="J22" s="15"/>
      <c r="K22" s="15"/>
      <c r="L22" s="15"/>
      <c r="M22" s="15"/>
      <c r="N22" s="15"/>
    </row>
    <row r="23" spans="1:14" x14ac:dyDescent="0.25">
      <c r="B23" s="141" t="s">
        <v>52</v>
      </c>
      <c r="C23" s="138">
        <f>SUM(C11:C22)</f>
        <v>30974.247999999996</v>
      </c>
      <c r="D23" s="139">
        <f>SUM(D11:D22)</f>
        <v>40133.599999999999</v>
      </c>
      <c r="E23" s="138">
        <f>SUM(E11:E22)</f>
        <v>36211.014000000003</v>
      </c>
      <c r="F23" s="139">
        <f>SUM(F11:F22)</f>
        <v>34872.729999999996</v>
      </c>
      <c r="G23" s="138">
        <f>SUM(G11:G22)</f>
        <v>89100.671999999991</v>
      </c>
      <c r="H23" s="139">
        <f>SUM(H11:H22)</f>
        <v>73190.255999999994</v>
      </c>
      <c r="I23" s="139">
        <f>SUM(I11:I22)</f>
        <v>67853.820864259367</v>
      </c>
      <c r="J23" s="15"/>
      <c r="K23" s="15"/>
      <c r="L23" s="15"/>
      <c r="M23" s="15"/>
      <c r="N23" s="15"/>
    </row>
    <row r="24" spans="1:14" x14ac:dyDescent="0.25">
      <c r="C24" s="15"/>
      <c r="D24" s="15"/>
      <c r="E24" s="15"/>
      <c r="F24" s="15"/>
      <c r="G24" s="15"/>
      <c r="H24" s="15"/>
      <c r="I24" s="15"/>
      <c r="J24" s="15"/>
      <c r="K24" s="15"/>
      <c r="L24" s="15"/>
      <c r="M24" s="15"/>
      <c r="N24" s="15"/>
    </row>
    <row r="25" spans="1:14" x14ac:dyDescent="0.25">
      <c r="C25" s="15"/>
      <c r="D25" s="15"/>
      <c r="E25" s="15"/>
      <c r="F25" s="15"/>
      <c r="G25" s="15"/>
      <c r="H25" s="15"/>
      <c r="I25" s="15"/>
      <c r="J25" s="15"/>
      <c r="K25" s="15"/>
      <c r="L25" s="15"/>
      <c r="M25" s="15"/>
      <c r="N25" s="15"/>
    </row>
    <row r="26" spans="1:14" x14ac:dyDescent="0.25">
      <c r="C26" s="15"/>
      <c r="D26" s="15"/>
      <c r="E26" s="15"/>
      <c r="F26" s="15"/>
      <c r="G26" s="15"/>
      <c r="H26" s="15"/>
      <c r="I26" s="15"/>
      <c r="J26" s="15"/>
      <c r="K26" s="15"/>
      <c r="L26" s="15"/>
      <c r="M26" s="15"/>
      <c r="N26" s="15"/>
    </row>
    <row r="27" spans="1:14" x14ac:dyDescent="0.25">
      <c r="K27" s="15"/>
      <c r="L27" s="15"/>
      <c r="M27" s="15"/>
      <c r="N27" s="15"/>
    </row>
  </sheetData>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873C6-B570-4BB4-A446-BDB2275289BF}">
  <dimension ref="A2:P26"/>
  <sheetViews>
    <sheetView zoomScale="120" zoomScaleNormal="120" workbookViewId="0">
      <selection activeCell="B2" sqref="B2"/>
    </sheetView>
  </sheetViews>
  <sheetFormatPr defaultRowHeight="15" x14ac:dyDescent="0.25"/>
  <cols>
    <col min="1" max="1" width="27" bestFit="1" customWidth="1"/>
    <col min="2" max="2" width="36.5703125" bestFit="1" customWidth="1"/>
    <col min="3" max="9" width="14.5703125" bestFit="1" customWidth="1"/>
  </cols>
  <sheetData>
    <row r="2" spans="1:16" x14ac:dyDescent="0.25">
      <c r="B2" s="113" t="s">
        <v>8</v>
      </c>
    </row>
    <row r="3" spans="1:16" x14ac:dyDescent="0.25">
      <c r="H3" t="s">
        <v>18</v>
      </c>
      <c r="I3">
        <v>10.980499999999999</v>
      </c>
      <c r="J3" t="s">
        <v>19</v>
      </c>
    </row>
    <row r="4" spans="1:16" x14ac:dyDescent="0.25">
      <c r="B4" t="s">
        <v>1</v>
      </c>
      <c r="C4" s="11">
        <v>15980</v>
      </c>
      <c r="D4" s="2">
        <v>15980</v>
      </c>
      <c r="E4">
        <v>15980</v>
      </c>
      <c r="F4">
        <v>15980</v>
      </c>
      <c r="G4">
        <v>15980</v>
      </c>
      <c r="H4">
        <v>15980</v>
      </c>
    </row>
    <row r="5" spans="1:16" x14ac:dyDescent="0.25">
      <c r="B5" t="s">
        <v>10</v>
      </c>
      <c r="C5" s="11">
        <v>12478</v>
      </c>
      <c r="D5" s="11">
        <v>12478</v>
      </c>
      <c r="E5" s="11">
        <v>12478</v>
      </c>
      <c r="F5" s="11">
        <v>12478</v>
      </c>
      <c r="G5" s="11">
        <v>12478</v>
      </c>
      <c r="H5" s="11">
        <v>12478</v>
      </c>
      <c r="I5" s="11"/>
    </row>
    <row r="6" spans="1:16" x14ac:dyDescent="0.25">
      <c r="B6" t="s">
        <v>2</v>
      </c>
      <c r="G6" s="2">
        <v>7777</v>
      </c>
      <c r="H6" s="2">
        <v>7777</v>
      </c>
    </row>
    <row r="7" spans="1:16" x14ac:dyDescent="0.25">
      <c r="B7" t="s">
        <v>66</v>
      </c>
      <c r="G7" s="2">
        <v>25000</v>
      </c>
      <c r="H7" s="2">
        <v>25000</v>
      </c>
    </row>
    <row r="8" spans="1:16" x14ac:dyDescent="0.25">
      <c r="B8" t="s">
        <v>49</v>
      </c>
      <c r="C8" s="4" t="s">
        <v>9</v>
      </c>
      <c r="D8" s="23" t="s">
        <v>9</v>
      </c>
      <c r="E8" s="4" t="s">
        <v>9</v>
      </c>
      <c r="F8" s="23" t="s">
        <v>9</v>
      </c>
      <c r="G8" s="85" t="s">
        <v>9</v>
      </c>
    </row>
    <row r="9" spans="1:16" x14ac:dyDescent="0.25">
      <c r="B9" s="140" t="s">
        <v>51</v>
      </c>
      <c r="C9" s="114">
        <v>1</v>
      </c>
      <c r="D9" s="116">
        <v>1</v>
      </c>
      <c r="E9" s="114">
        <v>1</v>
      </c>
      <c r="F9" s="116">
        <v>1</v>
      </c>
      <c r="G9" s="143">
        <v>1</v>
      </c>
      <c r="H9" s="116">
        <v>1</v>
      </c>
      <c r="I9" s="5"/>
      <c r="J9" s="89"/>
      <c r="K9" s="89"/>
      <c r="L9" s="89"/>
      <c r="M9" s="89"/>
      <c r="N9" s="89"/>
      <c r="O9" s="89"/>
      <c r="P9" s="89"/>
    </row>
    <row r="10" spans="1:16" x14ac:dyDescent="0.25">
      <c r="B10" s="5"/>
      <c r="C10" s="114" t="s">
        <v>0</v>
      </c>
      <c r="D10" s="116" t="s">
        <v>5</v>
      </c>
      <c r="E10" s="114" t="s">
        <v>36</v>
      </c>
      <c r="F10" s="116" t="s">
        <v>17</v>
      </c>
      <c r="G10" s="143" t="s">
        <v>13</v>
      </c>
      <c r="H10" s="116" t="s">
        <v>20</v>
      </c>
      <c r="I10" s="5"/>
      <c r="J10" s="89"/>
      <c r="K10" s="89"/>
      <c r="L10" s="89"/>
      <c r="M10" s="89"/>
      <c r="N10" s="89"/>
      <c r="O10" s="89"/>
      <c r="P10" s="89"/>
    </row>
    <row r="11" spans="1:16" x14ac:dyDescent="0.25">
      <c r="B11" s="137" t="s">
        <v>39</v>
      </c>
      <c r="C11" s="25">
        <f>1.86*C5</f>
        <v>23209.08</v>
      </c>
      <c r="D11" s="24">
        <f>2.01*D5</f>
        <v>25080.78</v>
      </c>
      <c r="E11" s="25"/>
      <c r="F11" s="24">
        <f>(0.3*F5*0.5)+(0.3*F5)</f>
        <v>5615.0999999999995</v>
      </c>
      <c r="G11" s="129">
        <f>G6*0.59</f>
        <v>4588.4299999999994</v>
      </c>
      <c r="H11" s="24">
        <f>4.28*H4/I3</f>
        <v>6228.7145394107747</v>
      </c>
      <c r="I11" s="15"/>
      <c r="J11" s="15"/>
      <c r="K11" s="15"/>
      <c r="L11" s="15"/>
      <c r="M11" s="15"/>
    </row>
    <row r="12" spans="1:16" x14ac:dyDescent="0.25">
      <c r="B12" s="137" t="s">
        <v>40</v>
      </c>
      <c r="C12" s="25"/>
      <c r="D12" s="24"/>
      <c r="E12" s="25">
        <f>(0.534*E5)+(0.962*E5)</f>
        <v>18667.088</v>
      </c>
      <c r="F12" s="24">
        <f>0.35*F5*2</f>
        <v>8734.5999999999985</v>
      </c>
      <c r="G12" s="129"/>
      <c r="H12" s="24"/>
      <c r="I12" s="15"/>
      <c r="J12" s="15"/>
      <c r="K12" s="15"/>
      <c r="L12" s="15"/>
      <c r="M12" s="15"/>
    </row>
    <row r="13" spans="1:16" x14ac:dyDescent="0.25">
      <c r="B13" s="137" t="s">
        <v>41</v>
      </c>
      <c r="C13" s="25"/>
      <c r="D13" s="24"/>
      <c r="E13" s="25">
        <f>E5*0.09</f>
        <v>1123.02</v>
      </c>
      <c r="F13" s="24">
        <f>0.1*F5</f>
        <v>1247.8000000000002</v>
      </c>
      <c r="G13" s="129"/>
      <c r="H13" s="24"/>
      <c r="I13" s="15"/>
      <c r="J13" s="15"/>
      <c r="K13" s="15"/>
      <c r="L13" s="15"/>
      <c r="M13" s="15"/>
    </row>
    <row r="14" spans="1:16" x14ac:dyDescent="0.25">
      <c r="B14" s="137" t="s">
        <v>42</v>
      </c>
      <c r="C14" s="25">
        <f>2*223</f>
        <v>446</v>
      </c>
      <c r="D14" s="24">
        <f>2*300</f>
        <v>600</v>
      </c>
      <c r="E14" s="25">
        <f>2*235</f>
        <v>470</v>
      </c>
      <c r="F14" s="24">
        <f>2*230</f>
        <v>460</v>
      </c>
      <c r="G14" s="129">
        <f>2*411</f>
        <v>822</v>
      </c>
      <c r="H14" s="24">
        <f>2*5198/I3</f>
        <v>946.76927280178506</v>
      </c>
      <c r="I14" s="15"/>
      <c r="J14" s="15"/>
      <c r="K14" s="15"/>
      <c r="L14" s="15"/>
      <c r="M14" s="15"/>
    </row>
    <row r="15" spans="1:16" x14ac:dyDescent="0.25">
      <c r="A15" s="53" t="s">
        <v>43</v>
      </c>
      <c r="B15" s="4" t="s">
        <v>59</v>
      </c>
      <c r="C15" s="88">
        <f>C5*0.018</f>
        <v>224.60399999999998</v>
      </c>
      <c r="D15" s="82">
        <f>0.1*D5</f>
        <v>1247.8000000000002</v>
      </c>
      <c r="E15" s="88"/>
      <c r="F15" s="82"/>
      <c r="G15" s="130"/>
      <c r="H15" s="82"/>
      <c r="I15" s="15"/>
      <c r="J15" s="15"/>
      <c r="K15" s="15"/>
      <c r="L15" s="15"/>
      <c r="M15" s="15"/>
    </row>
    <row r="16" spans="1:16" x14ac:dyDescent="0.25">
      <c r="A16" s="5"/>
      <c r="B16" s="5" t="s">
        <v>58</v>
      </c>
      <c r="C16" s="25"/>
      <c r="D16" s="24"/>
      <c r="E16" s="25">
        <f>E5*0.062</f>
        <v>773.63599999999997</v>
      </c>
      <c r="F16" s="24">
        <f>0.06*F5</f>
        <v>748.68</v>
      </c>
      <c r="G16" s="129"/>
      <c r="H16" s="24"/>
      <c r="I16" s="15"/>
      <c r="J16" s="15"/>
      <c r="K16" s="15"/>
      <c r="L16" s="15"/>
      <c r="M16" s="15"/>
    </row>
    <row r="17" spans="1:13" x14ac:dyDescent="0.25">
      <c r="A17" s="5"/>
      <c r="B17" s="5" t="s">
        <v>60</v>
      </c>
      <c r="C17" s="25"/>
      <c r="D17" s="24"/>
      <c r="E17" s="25"/>
      <c r="F17" s="24"/>
      <c r="G17" s="129">
        <f>IF((G6*0.09)&gt;=131,131,IF((G6*0.09)&lt;=45,45,G6*0.09))</f>
        <v>131</v>
      </c>
      <c r="H17" s="24"/>
      <c r="I17" s="15"/>
      <c r="J17" s="15"/>
      <c r="K17" s="15"/>
      <c r="L17" s="15"/>
      <c r="M17" s="15"/>
    </row>
    <row r="18" spans="1:13" x14ac:dyDescent="0.25">
      <c r="A18" s="5"/>
      <c r="B18" s="5" t="s">
        <v>61</v>
      </c>
      <c r="C18" s="25"/>
      <c r="D18" s="24"/>
      <c r="E18" s="25"/>
      <c r="F18" s="24"/>
      <c r="G18" s="129">
        <f>G6*0.19</f>
        <v>1477.63</v>
      </c>
      <c r="H18" s="24"/>
      <c r="I18" s="15"/>
      <c r="J18" s="15"/>
      <c r="K18" s="15"/>
      <c r="L18" s="15"/>
      <c r="M18" s="15"/>
    </row>
    <row r="19" spans="1:13" x14ac:dyDescent="0.25">
      <c r="A19" s="7"/>
      <c r="B19" s="7" t="s">
        <v>62</v>
      </c>
      <c r="C19" s="100"/>
      <c r="D19" s="101"/>
      <c r="E19" s="100"/>
      <c r="F19" s="101"/>
      <c r="G19" s="131">
        <f>G6*0.02</f>
        <v>155.54</v>
      </c>
      <c r="H19" s="101"/>
      <c r="I19" s="15"/>
      <c r="J19" s="15"/>
      <c r="K19" s="15"/>
      <c r="L19" s="15"/>
      <c r="M19" s="15"/>
    </row>
    <row r="20" spans="1:13" x14ac:dyDescent="0.25">
      <c r="B20" s="137" t="s">
        <v>65</v>
      </c>
      <c r="C20" s="25"/>
      <c r="D20" s="24"/>
      <c r="E20" s="25"/>
      <c r="F20" s="24"/>
      <c r="G20" s="129">
        <f>25000*1.35</f>
        <v>33750</v>
      </c>
      <c r="H20" s="24">
        <f>25000*19.88/I3</f>
        <v>45262.055461955286</v>
      </c>
      <c r="I20" s="15"/>
      <c r="J20" s="15"/>
      <c r="K20" s="15"/>
      <c r="L20" s="15"/>
      <c r="M20" s="15"/>
    </row>
    <row r="21" spans="1:13" x14ac:dyDescent="0.25">
      <c r="B21" s="137" t="s">
        <v>46</v>
      </c>
      <c r="C21" s="25">
        <f>2*1446</f>
        <v>2892</v>
      </c>
      <c r="D21" s="24">
        <f>2*1285</f>
        <v>2570</v>
      </c>
      <c r="E21" s="25"/>
      <c r="F21" s="24">
        <f>2*F5*0.11</f>
        <v>2745.16</v>
      </c>
      <c r="G21" s="129">
        <f>2*1974</f>
        <v>3948</v>
      </c>
      <c r="H21" s="24">
        <f>(620+10090+(6*3150))*2/I3</f>
        <v>5393.197031100588</v>
      </c>
      <c r="I21" s="15"/>
      <c r="J21" s="15"/>
      <c r="K21" s="15"/>
      <c r="L21" s="15"/>
      <c r="M21" s="15"/>
    </row>
    <row r="22" spans="1:13" x14ac:dyDescent="0.25">
      <c r="B22" s="137" t="s">
        <v>47</v>
      </c>
      <c r="C22" s="25">
        <f>C5*0.28</f>
        <v>3493.84</v>
      </c>
      <c r="D22" s="24">
        <f>D5*0.28</f>
        <v>3493.84</v>
      </c>
      <c r="E22" s="25">
        <f>0.095*E4</f>
        <v>1518.1</v>
      </c>
      <c r="F22" s="24">
        <f>0.095*F4</f>
        <v>1518.1</v>
      </c>
      <c r="G22" s="129">
        <f>0.47*G6</f>
        <v>3655.1899999999996</v>
      </c>
      <c r="H22" s="24">
        <f>(19350+58205)/I3+((25000*1.33)/I3)</f>
        <v>10091.070534128683</v>
      </c>
      <c r="I22" s="15"/>
      <c r="J22" s="15"/>
      <c r="K22" s="15"/>
      <c r="L22" s="15"/>
      <c r="M22" s="15"/>
    </row>
    <row r="23" spans="1:13" x14ac:dyDescent="0.25">
      <c r="B23" s="142" t="s">
        <v>52</v>
      </c>
      <c r="C23" s="100">
        <f>SUM(C11:C22)</f>
        <v>30265.524000000001</v>
      </c>
      <c r="D23" s="101">
        <f>SUM(D11:D22)</f>
        <v>32992.42</v>
      </c>
      <c r="E23" s="100">
        <f>SUM(E11:E22)</f>
        <v>22551.843999999997</v>
      </c>
      <c r="F23" s="101">
        <f>SUM(F11:F22)</f>
        <v>21069.439999999995</v>
      </c>
      <c r="G23" s="131">
        <f>SUM(G11:G22)</f>
        <v>48527.79</v>
      </c>
      <c r="H23" s="101">
        <f>SUM(H11:H22)</f>
        <v>67921.806839397119</v>
      </c>
      <c r="I23" s="15"/>
      <c r="J23" s="15"/>
      <c r="K23" s="15"/>
      <c r="L23" s="15"/>
      <c r="M23" s="15"/>
    </row>
    <row r="24" spans="1:13" x14ac:dyDescent="0.25">
      <c r="C24" s="15"/>
      <c r="D24" s="15"/>
      <c r="E24" s="15"/>
      <c r="F24" s="15"/>
      <c r="G24" s="15"/>
      <c r="H24" s="15"/>
      <c r="I24" s="15"/>
      <c r="J24" s="15"/>
      <c r="K24" s="15"/>
      <c r="L24" s="15"/>
      <c r="M24" s="15"/>
    </row>
    <row r="25" spans="1:13" x14ac:dyDescent="0.25">
      <c r="C25" s="15"/>
      <c r="D25" s="15"/>
      <c r="E25" s="15"/>
      <c r="F25" s="15"/>
      <c r="G25" s="15"/>
      <c r="H25" s="15"/>
      <c r="I25" s="15"/>
      <c r="J25" s="15"/>
      <c r="K25" s="15"/>
      <c r="L25" s="15"/>
      <c r="M25" s="15"/>
    </row>
    <row r="26" spans="1:13" x14ac:dyDescent="0.25">
      <c r="C26" s="15"/>
      <c r="D26" s="15"/>
      <c r="E26" s="15"/>
      <c r="F26" s="15"/>
      <c r="G26" s="15"/>
      <c r="H26" s="15"/>
      <c r="I26" s="15"/>
      <c r="J26" s="15"/>
      <c r="K26" s="15"/>
      <c r="L26" s="15"/>
      <c r="M26" s="15"/>
    </row>
  </sheetData>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574D6-B50C-48EA-B002-B64379EE4448}">
  <dimension ref="A2:N23"/>
  <sheetViews>
    <sheetView zoomScale="115" zoomScaleNormal="115" workbookViewId="0">
      <selection activeCell="B2" sqref="B2"/>
    </sheetView>
  </sheetViews>
  <sheetFormatPr defaultRowHeight="15" x14ac:dyDescent="0.25"/>
  <cols>
    <col min="1" max="1" width="26.7109375" bestFit="1" customWidth="1"/>
    <col min="2" max="2" width="36.5703125" bestFit="1" customWidth="1"/>
    <col min="3" max="3" width="13" bestFit="1" customWidth="1"/>
    <col min="4" max="4" width="11.28515625" bestFit="1" customWidth="1"/>
    <col min="6" max="6" width="13.42578125" customWidth="1"/>
  </cols>
  <sheetData>
    <row r="2" spans="1:14" x14ac:dyDescent="0.25">
      <c r="B2" s="113" t="s">
        <v>68</v>
      </c>
    </row>
    <row r="3" spans="1:14" x14ac:dyDescent="0.25">
      <c r="G3" s="89"/>
      <c r="H3" s="89"/>
    </row>
    <row r="4" spans="1:14" x14ac:dyDescent="0.25">
      <c r="B4" t="s">
        <v>1</v>
      </c>
      <c r="C4">
        <v>3610</v>
      </c>
      <c r="D4">
        <v>3610</v>
      </c>
      <c r="G4" s="89">
        <v>3610</v>
      </c>
      <c r="H4" s="89">
        <v>3610</v>
      </c>
    </row>
    <row r="5" spans="1:14" x14ac:dyDescent="0.25">
      <c r="B5" t="s">
        <v>2</v>
      </c>
      <c r="E5">
        <v>1783</v>
      </c>
      <c r="F5">
        <v>1783</v>
      </c>
      <c r="G5" s="89"/>
      <c r="H5" s="89"/>
    </row>
    <row r="6" spans="1:14" x14ac:dyDescent="0.25">
      <c r="B6" t="s">
        <v>21</v>
      </c>
      <c r="G6" s="89"/>
      <c r="H6" s="89"/>
      <c r="I6" s="89"/>
      <c r="J6" s="89"/>
      <c r="K6" s="89"/>
      <c r="L6" s="89"/>
      <c r="M6" s="89"/>
      <c r="N6" s="89"/>
    </row>
    <row r="7" spans="1:14" x14ac:dyDescent="0.25">
      <c r="B7" s="140" t="s">
        <v>51</v>
      </c>
      <c r="C7" s="114">
        <v>1</v>
      </c>
      <c r="D7" s="116">
        <v>1</v>
      </c>
      <c r="E7" s="114">
        <v>1</v>
      </c>
      <c r="F7" s="116">
        <v>1</v>
      </c>
      <c r="G7" s="114">
        <v>1</v>
      </c>
      <c r="H7" s="116">
        <v>1</v>
      </c>
      <c r="I7" s="89"/>
      <c r="J7" s="89"/>
      <c r="K7" s="89"/>
      <c r="L7" s="89"/>
      <c r="M7" s="89"/>
      <c r="N7" s="89"/>
    </row>
    <row r="8" spans="1:14" x14ac:dyDescent="0.25">
      <c r="B8" s="5"/>
      <c r="C8" s="182" t="s">
        <v>3</v>
      </c>
      <c r="D8" s="183" t="s">
        <v>5</v>
      </c>
      <c r="E8" s="184" t="s">
        <v>12</v>
      </c>
      <c r="F8" s="183" t="s">
        <v>13</v>
      </c>
      <c r="G8" s="182" t="s">
        <v>36</v>
      </c>
      <c r="H8" s="183" t="s">
        <v>17</v>
      </c>
      <c r="I8" s="89"/>
      <c r="J8" s="89"/>
      <c r="K8" s="89"/>
      <c r="L8" s="89"/>
      <c r="M8" s="89"/>
      <c r="N8" s="89"/>
    </row>
    <row r="9" spans="1:14" x14ac:dyDescent="0.25">
      <c r="B9" s="137" t="s">
        <v>39</v>
      </c>
      <c r="C9" s="17">
        <f>0.82*C4</f>
        <v>2960.2</v>
      </c>
      <c r="D9" s="27">
        <f>1.05*D4</f>
        <v>3790.5</v>
      </c>
      <c r="E9" s="17">
        <f>E5/100*40.6</f>
        <v>723.89799999999991</v>
      </c>
      <c r="F9" s="27">
        <f>0.59*F5</f>
        <v>1051.97</v>
      </c>
      <c r="G9" s="16"/>
      <c r="H9" s="27">
        <f>H4*0.22*2*0.5</f>
        <v>794.2</v>
      </c>
      <c r="I9" s="89"/>
      <c r="J9" s="89"/>
      <c r="K9" s="89"/>
      <c r="L9" s="89"/>
      <c r="M9" s="89"/>
      <c r="N9" s="89"/>
    </row>
    <row r="10" spans="1:14" x14ac:dyDescent="0.25">
      <c r="B10" s="137" t="s">
        <v>40</v>
      </c>
      <c r="C10" s="16"/>
      <c r="D10" s="26"/>
      <c r="E10" s="16"/>
      <c r="F10" s="26"/>
      <c r="G10" s="17">
        <f>(G4*0.875)+(G4*0.437)</f>
        <v>4736.32</v>
      </c>
      <c r="H10" s="27">
        <f>H4*0.35*2*0.5</f>
        <v>1263.5</v>
      </c>
      <c r="I10" s="89"/>
      <c r="J10" s="89"/>
      <c r="K10" s="89"/>
      <c r="L10" s="89"/>
      <c r="M10" s="89"/>
      <c r="N10" s="89"/>
    </row>
    <row r="11" spans="1:14" x14ac:dyDescent="0.25">
      <c r="B11" s="137" t="s">
        <v>41</v>
      </c>
      <c r="C11" s="16"/>
      <c r="D11" s="26"/>
      <c r="E11" s="16"/>
      <c r="F11" s="26"/>
      <c r="G11" s="17">
        <f>G4*0.09</f>
        <v>324.89999999999998</v>
      </c>
      <c r="H11" s="27">
        <f>H4*0.1</f>
        <v>361</v>
      </c>
      <c r="I11" s="89"/>
      <c r="J11" s="89"/>
      <c r="K11" s="89"/>
      <c r="L11" s="89"/>
      <c r="M11" s="89"/>
      <c r="N11" s="89"/>
    </row>
    <row r="12" spans="1:14" ht="15.75" thickBot="1" x14ac:dyDescent="0.3">
      <c r="B12" s="137" t="s">
        <v>42</v>
      </c>
      <c r="C12" s="17">
        <f>2*171</f>
        <v>342</v>
      </c>
      <c r="D12" s="27">
        <f>2*225</f>
        <v>450</v>
      </c>
      <c r="E12" s="17">
        <f>2*397.28</f>
        <v>794.56</v>
      </c>
      <c r="F12" s="27">
        <f>2*272</f>
        <v>544</v>
      </c>
      <c r="G12" s="17">
        <f>2*120</f>
        <v>240</v>
      </c>
      <c r="H12" s="27">
        <f>2*120</f>
        <v>240</v>
      </c>
      <c r="I12" s="89"/>
      <c r="J12" s="89"/>
      <c r="K12" s="89"/>
      <c r="L12" s="89"/>
      <c r="M12" s="89"/>
      <c r="N12" s="89"/>
    </row>
    <row r="13" spans="1:14" ht="15.75" thickTop="1" x14ac:dyDescent="0.25">
      <c r="A13" s="42" t="s">
        <v>43</v>
      </c>
      <c r="B13" s="4" t="s">
        <v>59</v>
      </c>
      <c r="C13" s="134">
        <f>C4*0.018</f>
        <v>64.97999999999999</v>
      </c>
      <c r="D13" s="28">
        <f>0.1*D4</f>
        <v>361</v>
      </c>
      <c r="E13" s="134">
        <f>E5/100*13.6</f>
        <v>242.48799999999997</v>
      </c>
      <c r="F13" s="29"/>
      <c r="G13" s="18"/>
      <c r="H13" s="29"/>
      <c r="I13" s="89"/>
      <c r="J13" s="89"/>
      <c r="K13" s="89"/>
      <c r="L13" s="89"/>
      <c r="M13" s="89"/>
      <c r="N13" s="89"/>
    </row>
    <row r="14" spans="1:14" x14ac:dyDescent="0.25">
      <c r="A14" s="89"/>
      <c r="B14" s="5" t="s">
        <v>58</v>
      </c>
      <c r="C14" s="16"/>
      <c r="D14" s="26"/>
      <c r="E14" s="16"/>
      <c r="F14" s="26"/>
      <c r="G14" s="17">
        <f>G4*0.062</f>
        <v>223.82</v>
      </c>
      <c r="H14" s="27">
        <f>H4*0.06</f>
        <v>216.6</v>
      </c>
      <c r="I14" s="89"/>
      <c r="J14" s="89"/>
      <c r="K14" s="89"/>
      <c r="L14" s="89"/>
      <c r="M14" s="89"/>
      <c r="N14" s="89"/>
    </row>
    <row r="15" spans="1:14" x14ac:dyDescent="0.25">
      <c r="A15" s="89"/>
      <c r="B15" s="5" t="s">
        <v>60</v>
      </c>
      <c r="C15" s="16"/>
      <c r="D15" s="26"/>
      <c r="E15" s="16"/>
      <c r="F15" s="27">
        <v>131</v>
      </c>
      <c r="G15" s="16"/>
      <c r="H15" s="26"/>
      <c r="I15" s="89"/>
      <c r="J15" s="89"/>
      <c r="K15" s="89"/>
      <c r="L15" s="89"/>
      <c r="M15" s="89"/>
      <c r="N15" s="89"/>
    </row>
    <row r="16" spans="1:14" x14ac:dyDescent="0.25">
      <c r="A16" s="89"/>
      <c r="B16" s="5" t="s">
        <v>61</v>
      </c>
      <c r="C16" s="16"/>
      <c r="D16" s="26"/>
      <c r="E16" s="16"/>
      <c r="F16" s="27">
        <f>0.19*F5</f>
        <v>338.77</v>
      </c>
      <c r="G16" s="16"/>
      <c r="H16" s="26"/>
      <c r="I16" s="89"/>
      <c r="J16" s="89"/>
      <c r="K16" s="89"/>
      <c r="L16" s="89"/>
      <c r="M16" s="89"/>
      <c r="N16" s="89"/>
    </row>
    <row r="17" spans="1:14" ht="15.75" thickBot="1" x14ac:dyDescent="0.3">
      <c r="A17" s="1"/>
      <c r="B17" s="7" t="s">
        <v>62</v>
      </c>
      <c r="C17" s="19"/>
      <c r="D17" s="30"/>
      <c r="E17" s="19"/>
      <c r="F17" s="135">
        <f>0.02*F5</f>
        <v>35.660000000000004</v>
      </c>
      <c r="G17" s="19"/>
      <c r="H17" s="30"/>
      <c r="I17" s="89"/>
      <c r="J17" s="89"/>
      <c r="K17" s="89"/>
      <c r="L17" s="89"/>
      <c r="M17" s="89"/>
      <c r="N17" s="89"/>
    </row>
    <row r="18" spans="1:14" ht="15.75" thickTop="1" x14ac:dyDescent="0.25">
      <c r="B18" s="137" t="s">
        <v>65</v>
      </c>
      <c r="C18" s="16"/>
      <c r="D18" s="26"/>
      <c r="E18" s="17">
        <f>1.07*1200</f>
        <v>1284</v>
      </c>
      <c r="F18" s="27">
        <f>1.19*1200</f>
        <v>1428</v>
      </c>
      <c r="G18" s="16"/>
      <c r="H18" s="26"/>
      <c r="I18" s="89"/>
      <c r="J18" s="89"/>
      <c r="K18" s="89"/>
      <c r="L18" s="89"/>
      <c r="M18" s="89"/>
      <c r="N18" s="89"/>
    </row>
    <row r="19" spans="1:14" x14ac:dyDescent="0.25">
      <c r="B19" s="137" t="s">
        <v>46</v>
      </c>
      <c r="C19" s="17">
        <f>2*671</f>
        <v>1342</v>
      </c>
      <c r="D19" s="27">
        <f>2*580</f>
        <v>1160</v>
      </c>
      <c r="E19" s="17">
        <f>2*1146</f>
        <v>2292</v>
      </c>
      <c r="F19" s="27">
        <f>2*1524</f>
        <v>3048</v>
      </c>
      <c r="G19" s="16"/>
      <c r="H19" s="27">
        <f>H4*0.11*2</f>
        <v>794.2</v>
      </c>
      <c r="I19" s="89"/>
      <c r="J19" s="89"/>
      <c r="K19" s="89"/>
      <c r="L19" s="89"/>
      <c r="M19" s="89"/>
      <c r="N19" s="89"/>
    </row>
    <row r="20" spans="1:14" x14ac:dyDescent="0.25">
      <c r="B20" s="137" t="s">
        <v>47</v>
      </c>
      <c r="C20" s="17">
        <f>C4*0.35</f>
        <v>1263.5</v>
      </c>
      <c r="D20" s="27">
        <f>D4*0.35</f>
        <v>1263.5</v>
      </c>
      <c r="E20" s="17">
        <f>2.578*E5</f>
        <v>4596.5739999999996</v>
      </c>
      <c r="F20" s="27">
        <f>2.578*F5</f>
        <v>4596.5739999999996</v>
      </c>
      <c r="G20" s="16">
        <f>0.095*G4</f>
        <v>342.95</v>
      </c>
      <c r="H20" s="136">
        <f>0.095*H4</f>
        <v>342.95</v>
      </c>
      <c r="I20" s="89"/>
      <c r="J20" s="89"/>
      <c r="K20" s="89"/>
      <c r="L20" s="89"/>
      <c r="M20" s="89"/>
      <c r="N20" s="89"/>
    </row>
    <row r="21" spans="1:14" x14ac:dyDescent="0.25">
      <c r="B21" s="5"/>
      <c r="C21" s="5"/>
      <c r="D21" s="6"/>
      <c r="E21" s="5"/>
      <c r="F21" s="6"/>
      <c r="G21" s="5"/>
      <c r="H21" s="6"/>
    </row>
    <row r="22" spans="1:14" s="119" customFormat="1" x14ac:dyDescent="0.25">
      <c r="B22" s="144" t="s">
        <v>52</v>
      </c>
      <c r="C22" s="37">
        <f>SUM(C9:C21)</f>
        <v>5972.68</v>
      </c>
      <c r="D22" s="39">
        <f>SUM(D9:D21)</f>
        <v>7025</v>
      </c>
      <c r="E22" s="37">
        <f>SUM(E9:E20)</f>
        <v>9933.52</v>
      </c>
      <c r="F22" s="39">
        <f>SUM(F9:F20)</f>
        <v>11173.973999999998</v>
      </c>
      <c r="G22" s="37">
        <f>SUM(G9:G21)</f>
        <v>5867.9899999999989</v>
      </c>
      <c r="H22" s="39">
        <f>SUM(H9:H21)</f>
        <v>4012.45</v>
      </c>
    </row>
    <row r="23" spans="1:14" ht="60" x14ac:dyDescent="0.25">
      <c r="F23" s="13" t="s">
        <v>15</v>
      </c>
      <c r="G23" s="89"/>
      <c r="H23" s="89"/>
    </row>
  </sheetData>
  <pageMargins left="0.7" right="0.7" top="0.75" bottom="0.75" header="0.3" footer="0.3"/>
  <pageSetup paperSize="9" orientation="portrait" horizontalDpi="4294967295" verticalDpi="4294967295"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7D9C7-5B0A-4F80-B12C-A5DB43CA179A}">
  <dimension ref="B3:O42"/>
  <sheetViews>
    <sheetView workbookViewId="0">
      <selection activeCell="G29" sqref="G29"/>
    </sheetView>
  </sheetViews>
  <sheetFormatPr defaultRowHeight="15" x14ac:dyDescent="0.25"/>
  <sheetData>
    <row r="3" spans="2:15" x14ac:dyDescent="0.25">
      <c r="C3" t="s">
        <v>32</v>
      </c>
      <c r="H3" s="21" t="s">
        <v>34</v>
      </c>
      <c r="I3" t="s">
        <v>35</v>
      </c>
    </row>
    <row r="4" spans="2:15" x14ac:dyDescent="0.25">
      <c r="C4" t="s">
        <v>7</v>
      </c>
      <c r="D4" t="s">
        <v>14</v>
      </c>
      <c r="G4" t="s">
        <v>7</v>
      </c>
      <c r="H4" t="s">
        <v>14</v>
      </c>
      <c r="K4" t="s">
        <v>7</v>
      </c>
      <c r="L4" t="s">
        <v>14</v>
      </c>
    </row>
    <row r="5" spans="2:15" x14ac:dyDescent="0.25">
      <c r="B5" t="s">
        <v>9</v>
      </c>
      <c r="C5">
        <v>0.28000000000000003</v>
      </c>
      <c r="D5">
        <v>0.47</v>
      </c>
      <c r="E5" s="54">
        <f>D5/C5</f>
        <v>1.6785714285714284</v>
      </c>
      <c r="F5" t="s">
        <v>9</v>
      </c>
      <c r="G5" s="54">
        <v>1</v>
      </c>
      <c r="H5" s="54">
        <v>1</v>
      </c>
      <c r="J5" t="s">
        <v>9</v>
      </c>
      <c r="K5" s="54"/>
      <c r="L5" s="54"/>
      <c r="N5">
        <v>0.625</v>
      </c>
    </row>
    <row r="6" spans="2:15" x14ac:dyDescent="0.25">
      <c r="B6" t="s">
        <v>6</v>
      </c>
      <c r="C6">
        <v>0.3</v>
      </c>
      <c r="D6">
        <v>1.0980000000000001</v>
      </c>
      <c r="E6" s="54">
        <f t="shared" ref="E6:E8" si="0">D6/C6</f>
        <v>3.6600000000000006</v>
      </c>
      <c r="F6" t="s">
        <v>6</v>
      </c>
      <c r="G6" s="54">
        <f>C6/C$5</f>
        <v>1.0714285714285714</v>
      </c>
      <c r="H6" s="54">
        <f>D6/D$5</f>
        <v>2.3361702127659578</v>
      </c>
      <c r="I6" s="55">
        <v>1</v>
      </c>
      <c r="J6" t="s">
        <v>6</v>
      </c>
      <c r="K6">
        <v>1</v>
      </c>
      <c r="L6">
        <v>1</v>
      </c>
    </row>
    <row r="7" spans="2:15" x14ac:dyDescent="0.25">
      <c r="B7" t="s">
        <v>30</v>
      </c>
      <c r="C7">
        <v>0.35</v>
      </c>
      <c r="D7">
        <v>2.5779999999999998</v>
      </c>
      <c r="E7" s="54">
        <f t="shared" si="0"/>
        <v>7.3657142857142857</v>
      </c>
      <c r="F7" t="s">
        <v>30</v>
      </c>
      <c r="G7" s="54">
        <f t="shared" ref="G7:G8" si="1">C7/C$5</f>
        <v>1.2499999999999998</v>
      </c>
      <c r="H7" s="54">
        <f t="shared" ref="H7:H8" si="2">D7/D$5</f>
        <v>5.4851063829787234</v>
      </c>
      <c r="I7" s="55">
        <f>D7/D6</f>
        <v>2.3479052823315114</v>
      </c>
      <c r="J7" t="s">
        <v>30</v>
      </c>
      <c r="K7" s="54">
        <f>C7/C$6</f>
        <v>1.1666666666666667</v>
      </c>
      <c r="L7" s="54">
        <f>D7/D$6</f>
        <v>2.3479052823315114</v>
      </c>
    </row>
    <row r="8" spans="2:15" x14ac:dyDescent="0.25">
      <c r="B8" t="s">
        <v>31</v>
      </c>
      <c r="C8">
        <v>0.35</v>
      </c>
      <c r="D8">
        <v>4.3810000000000002</v>
      </c>
      <c r="E8" s="54">
        <f t="shared" si="0"/>
        <v>12.517142857142858</v>
      </c>
      <c r="F8" t="s">
        <v>31</v>
      </c>
      <c r="G8" s="54">
        <f t="shared" si="1"/>
        <v>1.2499999999999998</v>
      </c>
      <c r="H8" s="54">
        <f t="shared" si="2"/>
        <v>9.3212765957446813</v>
      </c>
      <c r="I8" s="55">
        <f>D8/D6</f>
        <v>3.989981785063752</v>
      </c>
      <c r="J8" t="s">
        <v>31</v>
      </c>
      <c r="K8" s="54">
        <f>C8/C$6</f>
        <v>1.1666666666666667</v>
      </c>
      <c r="L8" s="54">
        <f>D8/D$6</f>
        <v>3.989981785063752</v>
      </c>
      <c r="N8">
        <v>4.1689999999999996</v>
      </c>
      <c r="O8">
        <f>N8/N5</f>
        <v>6.670399999999999</v>
      </c>
    </row>
    <row r="9" spans="2:15" x14ac:dyDescent="0.25">
      <c r="C9" t="s">
        <v>1</v>
      </c>
      <c r="D9" t="s">
        <v>2</v>
      </c>
      <c r="G9" t="s">
        <v>1</v>
      </c>
      <c r="H9" t="s">
        <v>2</v>
      </c>
      <c r="K9" t="s">
        <v>1</v>
      </c>
      <c r="L9" t="s">
        <v>2</v>
      </c>
    </row>
    <row r="13" spans="2:15" x14ac:dyDescent="0.25">
      <c r="E13" s="54"/>
    </row>
    <row r="14" spans="2:15" x14ac:dyDescent="0.25">
      <c r="C14" s="14"/>
      <c r="D14" s="14"/>
    </row>
    <row r="15" spans="2:15" x14ac:dyDescent="0.25">
      <c r="C15" s="14"/>
      <c r="D15" s="14"/>
    </row>
    <row r="16" spans="2:15" x14ac:dyDescent="0.25">
      <c r="C16" s="14"/>
      <c r="D16" s="14"/>
    </row>
    <row r="17" spans="3:11" x14ac:dyDescent="0.25">
      <c r="C17" s="14"/>
      <c r="D17" s="14"/>
    </row>
    <row r="19" spans="3:11" x14ac:dyDescent="0.25">
      <c r="E19" s="54"/>
      <c r="K19" s="54"/>
    </row>
    <row r="20" spans="3:11" x14ac:dyDescent="0.25">
      <c r="C20" s="14"/>
      <c r="D20" s="14"/>
      <c r="I20" s="14"/>
      <c r="J20" s="14"/>
    </row>
    <row r="21" spans="3:11" x14ac:dyDescent="0.25">
      <c r="C21" s="14"/>
      <c r="D21" s="14"/>
      <c r="I21" s="14"/>
      <c r="J21" s="14"/>
    </row>
    <row r="22" spans="3:11" x14ac:dyDescent="0.25">
      <c r="C22" s="14"/>
      <c r="D22" s="14"/>
      <c r="I22" s="14"/>
      <c r="J22" s="14"/>
    </row>
    <row r="23" spans="3:11" x14ac:dyDescent="0.25">
      <c r="C23" s="14"/>
      <c r="D23" s="14"/>
      <c r="I23" s="14"/>
      <c r="J23" s="14"/>
    </row>
    <row r="25" spans="3:11" x14ac:dyDescent="0.25">
      <c r="E25" s="54"/>
      <c r="K25" s="54"/>
    </row>
    <row r="26" spans="3:11" x14ac:dyDescent="0.25">
      <c r="C26" s="14"/>
      <c r="D26" s="14"/>
      <c r="I26" s="14"/>
      <c r="J26" s="14"/>
    </row>
    <row r="27" spans="3:11" x14ac:dyDescent="0.25">
      <c r="C27" s="14"/>
      <c r="D27" s="14"/>
      <c r="I27" s="14"/>
      <c r="J27" s="14"/>
    </row>
    <row r="28" spans="3:11" x14ac:dyDescent="0.25">
      <c r="C28" s="14"/>
      <c r="D28" s="14"/>
      <c r="I28" s="14"/>
      <c r="J28" s="14"/>
    </row>
    <row r="29" spans="3:11" x14ac:dyDescent="0.25">
      <c r="C29" s="14"/>
      <c r="D29" s="14"/>
      <c r="I29" s="14"/>
      <c r="J29" s="14"/>
    </row>
    <row r="31" spans="3:11" x14ac:dyDescent="0.25">
      <c r="E31" s="54"/>
    </row>
    <row r="32" spans="3:11" x14ac:dyDescent="0.25">
      <c r="C32" s="14"/>
      <c r="D32" s="14"/>
    </row>
    <row r="33" spans="3:5" x14ac:dyDescent="0.25">
      <c r="C33" s="14"/>
      <c r="D33" s="14"/>
    </row>
    <row r="34" spans="3:5" x14ac:dyDescent="0.25">
      <c r="C34" s="14"/>
      <c r="D34" s="14"/>
    </row>
    <row r="35" spans="3:5" x14ac:dyDescent="0.25">
      <c r="C35" s="14"/>
      <c r="D35" s="14"/>
    </row>
    <row r="36" spans="3:5" x14ac:dyDescent="0.25">
      <c r="C36" s="14"/>
      <c r="D36" s="14"/>
    </row>
    <row r="38" spans="3:5" x14ac:dyDescent="0.25">
      <c r="E38" s="54"/>
    </row>
    <row r="39" spans="3:5" x14ac:dyDescent="0.25">
      <c r="C39" s="14"/>
      <c r="D39" s="14"/>
    </row>
    <row r="40" spans="3:5" x14ac:dyDescent="0.25">
      <c r="C40" s="14"/>
      <c r="D40" s="14"/>
    </row>
    <row r="41" spans="3:5" x14ac:dyDescent="0.25">
      <c r="C41" s="14"/>
      <c r="D41" s="14"/>
    </row>
    <row r="42" spans="3:5" x14ac:dyDescent="0.25">
      <c r="C42" s="14"/>
      <c r="D42" s="1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Ro-Pax</vt:lpstr>
      <vt:lpstr>Cruise vessel</vt:lpstr>
      <vt:lpstr>Ro-Ro</vt:lpstr>
      <vt:lpstr>Container vessel</vt:lpstr>
      <vt:lpstr>Bulker</vt:lpstr>
      <vt:lpstr>Tanker</vt:lpstr>
      <vt:lpstr>General Cargo Vessel</vt:lpstr>
      <vt:lpstr>Ice-class comparison</vt:lpstr>
    </vt:vector>
  </TitlesOfParts>
  <Company>Tallinn University of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Tõnis Hunt</dc:creator>
  <cp:lastModifiedBy>Tõnis Hunt</cp:lastModifiedBy>
  <dcterms:created xsi:type="dcterms:W3CDTF">2022-09-25T09:47:15Z</dcterms:created>
  <dcterms:modified xsi:type="dcterms:W3CDTF">2024-09-10T14:15:11Z</dcterms:modified>
</cp:coreProperties>
</file>